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91" yWindow="1380" windowWidth="11535" windowHeight="6690" tabRatio="792" activeTab="0"/>
  </bookViews>
  <sheets>
    <sheet name="Kompakt&amp;Ventiil&amp;T6&amp;Moodsad" sheetId="1" r:id="rId1"/>
    <sheet name="PLAN" sheetId="2" r:id="rId2"/>
    <sheet name="HUGIEENILISED" sheetId="3" r:id="rId3"/>
    <sheet name="VERTIKAALSED" sheetId="4" r:id="rId4"/>
    <sheet name="plan vertikaalsed" sheetId="5" r:id="rId5"/>
  </sheets>
  <externalReferences>
    <externalReference r:id="rId8"/>
  </externalReferences>
  <definedNames>
    <definedName name="Koeff" localSheetId="1">'PLAN'!$K$15</definedName>
    <definedName name="Koeff">#REF!</definedName>
    <definedName name="Koeffizient" localSheetId="0">'Kompakt&amp;Ventiil&amp;T6&amp;Moodsad'!$J$15</definedName>
    <definedName name="Koeffizient">#REF!</definedName>
    <definedName name="n_10_300" localSheetId="0">'Kompakt&amp;Ventiil&amp;T6&amp;Moodsad'!$D$19</definedName>
    <definedName name="n_10_300">#REF!</definedName>
    <definedName name="n_10_400" localSheetId="0">'Kompakt&amp;Ventiil&amp;T6&amp;Moodsad'!$D$20</definedName>
    <definedName name="n_10_400">#REF!</definedName>
    <definedName name="n_10_500" localSheetId="0">'Kompakt&amp;Ventiil&amp;T6&amp;Moodsad'!$D$21</definedName>
    <definedName name="n_10_500">#REF!</definedName>
    <definedName name="n_10_554" localSheetId="0">'Kompakt&amp;Ventiil&amp;T6&amp;Moodsad'!$D$22</definedName>
    <definedName name="n_10_554">#REF!</definedName>
    <definedName name="n_10_600" localSheetId="0">'Kompakt&amp;Ventiil&amp;T6&amp;Moodsad'!$D$23</definedName>
    <definedName name="n_10_600">#REF!</definedName>
    <definedName name="n_10_750" localSheetId="0">'Kompakt&amp;Ventiil&amp;T6&amp;Moodsad'!$D$24</definedName>
    <definedName name="n_10_750">#REF!</definedName>
    <definedName name="n_10_900" localSheetId="0">'Kompakt&amp;Ventiil&amp;T6&amp;Moodsad'!$D$25</definedName>
    <definedName name="n_10_900">#REF!</definedName>
    <definedName name="n_11K_300" localSheetId="0">'Kompakt&amp;Ventiil&amp;T6&amp;Moodsad'!$D$26</definedName>
    <definedName name="n_11K_300">#REF!</definedName>
    <definedName name="n_11K_400" localSheetId="0">'Kompakt&amp;Ventiil&amp;T6&amp;Moodsad'!$D$27</definedName>
    <definedName name="n_11K_400">#REF!</definedName>
    <definedName name="n_11K_500" localSheetId="0">'Kompakt&amp;Ventiil&amp;T6&amp;Moodsad'!$D$28</definedName>
    <definedName name="n_11K_500">#REF!</definedName>
    <definedName name="n_11K_600" localSheetId="0">'Kompakt&amp;Ventiil&amp;T6&amp;Moodsad'!$D$29</definedName>
    <definedName name="n_11K_600">#REF!</definedName>
    <definedName name="n_11K_750" localSheetId="0">'Kompakt&amp;Ventiil&amp;T6&amp;Moodsad'!$D$30</definedName>
    <definedName name="n_11K_750">#REF!</definedName>
    <definedName name="n_11K_900" localSheetId="0">'Kompakt&amp;Ventiil&amp;T6&amp;Moodsad'!$D$31</definedName>
    <definedName name="n_11K_900">#REF!</definedName>
    <definedName name="n_11P_300" localSheetId="0">#REF!</definedName>
    <definedName name="n_11P_300">'PLAN'!$E$21</definedName>
    <definedName name="n_11P_400" localSheetId="0">#REF!</definedName>
    <definedName name="n_11P_400">'PLAN'!$E$22</definedName>
    <definedName name="n_11P_500" localSheetId="0">#REF!</definedName>
    <definedName name="n_11P_500">'PLAN'!$E$23</definedName>
    <definedName name="n_11P_600" localSheetId="0">#REF!</definedName>
    <definedName name="n_11P_600">'PLAN'!$E$24</definedName>
    <definedName name="n_11P_900" localSheetId="0">#REF!</definedName>
    <definedName name="n_11P_900">'PLAN'!$E$25</definedName>
    <definedName name="n_20K_300" localSheetId="0">'Kompakt&amp;Ventiil&amp;T6&amp;Moodsad'!$D$32</definedName>
    <definedName name="n_20K_300">#REF!</definedName>
    <definedName name="n_20K_400" localSheetId="0">'Kompakt&amp;Ventiil&amp;T6&amp;Moodsad'!$D$33</definedName>
    <definedName name="n_20K_400">#REF!</definedName>
    <definedName name="n_20K_500" localSheetId="0">'Kompakt&amp;Ventiil&amp;T6&amp;Moodsad'!$D$34</definedName>
    <definedName name="n_20K_500">#REF!</definedName>
    <definedName name="n_20K_554" localSheetId="0">'Kompakt&amp;Ventiil&amp;T6&amp;Moodsad'!$D$35</definedName>
    <definedName name="n_20K_554">#REF!</definedName>
    <definedName name="n_20K_600" localSheetId="0">'Kompakt&amp;Ventiil&amp;T6&amp;Moodsad'!$D$36</definedName>
    <definedName name="n_20K_600">#REF!</definedName>
    <definedName name="n_20K_750" localSheetId="0">'Kompakt&amp;Ventiil&amp;T6&amp;Moodsad'!$D$37</definedName>
    <definedName name="n_20K_750">#REF!</definedName>
    <definedName name="n_20K_900" localSheetId="0">'Kompakt&amp;Ventiil&amp;T6&amp;Moodsad'!$D$38</definedName>
    <definedName name="n_20K_900">#REF!</definedName>
    <definedName name="n_20P_300" localSheetId="0">#REF!</definedName>
    <definedName name="n_20P_300">'PLAN'!$E$26</definedName>
    <definedName name="n_20P_400" localSheetId="0">#REF!</definedName>
    <definedName name="n_20P_400">'PLAN'!$E$27</definedName>
    <definedName name="n_20P_500" localSheetId="0">#REF!</definedName>
    <definedName name="n_20P_500">'PLAN'!$E$28</definedName>
    <definedName name="n_20P_554" localSheetId="0">#REF!</definedName>
    <definedName name="n_20P_554">'PLAN'!$E$29</definedName>
    <definedName name="n_20P_600" localSheetId="0">#REF!</definedName>
    <definedName name="n_20P_600">'PLAN'!$E$30</definedName>
    <definedName name="n_20P_750" localSheetId="0">#REF!</definedName>
    <definedName name="n_20P_750">'PLAN'!$E$31</definedName>
    <definedName name="n_20P_900" localSheetId="0">#REF!</definedName>
    <definedName name="n_20P_900">'PLAN'!$E$32</definedName>
    <definedName name="n_21K_300" localSheetId="0">'Kompakt&amp;Ventiil&amp;T6&amp;Moodsad'!$D$39</definedName>
    <definedName name="n_21K_300">#REF!</definedName>
    <definedName name="n_21K_400" localSheetId="0">'Kompakt&amp;Ventiil&amp;T6&amp;Moodsad'!$D$40</definedName>
    <definedName name="n_21K_400">#REF!</definedName>
    <definedName name="n_21K_500" localSheetId="0">'Kompakt&amp;Ventiil&amp;T6&amp;Moodsad'!$D$41</definedName>
    <definedName name="n_21K_500">#REF!</definedName>
    <definedName name="n_21K_554" localSheetId="0">'Kompakt&amp;Ventiil&amp;T6&amp;Moodsad'!$D$42</definedName>
    <definedName name="n_21K_554">#REF!</definedName>
    <definedName name="n_21K_600" localSheetId="0">'Kompakt&amp;Ventiil&amp;T6&amp;Moodsad'!$D$43</definedName>
    <definedName name="n_21K_600">#REF!</definedName>
    <definedName name="n_21K_750" localSheetId="0">'Kompakt&amp;Ventiil&amp;T6&amp;Moodsad'!$D$44</definedName>
    <definedName name="n_21K_750">#REF!</definedName>
    <definedName name="n_21K_900" localSheetId="0">'Kompakt&amp;Ventiil&amp;T6&amp;Moodsad'!$D$45</definedName>
    <definedName name="n_21K_900">#REF!</definedName>
    <definedName name="n_21K_954" localSheetId="0">'Kompakt&amp;Ventiil&amp;T6&amp;Moodsad'!$D$46</definedName>
    <definedName name="n_21K_954">#REF!</definedName>
    <definedName name="n_21P_300" localSheetId="0">#REF!</definedName>
    <definedName name="n_21P_300">'PLAN'!$E$33</definedName>
    <definedName name="n_21P_400" localSheetId="0">#REF!</definedName>
    <definedName name="n_21P_400">'PLAN'!$E$34</definedName>
    <definedName name="n_21P_500" localSheetId="0">#REF!</definedName>
    <definedName name="n_21P_500">'PLAN'!$E$35</definedName>
    <definedName name="n_21P_600" localSheetId="0">#REF!</definedName>
    <definedName name="n_21P_600">'PLAN'!$E$36</definedName>
    <definedName name="n_21P_900" localSheetId="0">#REF!</definedName>
    <definedName name="n_21P_900">'PLAN'!$E$37</definedName>
    <definedName name="n_22K_300" localSheetId="0">'Kompakt&amp;Ventiil&amp;T6&amp;Moodsad'!$D$47</definedName>
    <definedName name="n_22K_300">#REF!</definedName>
    <definedName name="n_22K_400" localSheetId="0">'Kompakt&amp;Ventiil&amp;T6&amp;Moodsad'!$D$48</definedName>
    <definedName name="n_22K_400">#REF!</definedName>
    <definedName name="n_22K_500" localSheetId="0">'Kompakt&amp;Ventiil&amp;T6&amp;Moodsad'!$D$49</definedName>
    <definedName name="n_22K_500">#REF!</definedName>
    <definedName name="n_22K_554" localSheetId="0">'Kompakt&amp;Ventiil&amp;T6&amp;Moodsad'!$D$50</definedName>
    <definedName name="n_22K_554">#REF!</definedName>
    <definedName name="n_22K_600" localSheetId="0">'Kompakt&amp;Ventiil&amp;T6&amp;Moodsad'!$D$51</definedName>
    <definedName name="n_22K_600">#REF!</definedName>
    <definedName name="n_22K_750" localSheetId="0">'Kompakt&amp;Ventiil&amp;T6&amp;Moodsad'!$D$52</definedName>
    <definedName name="n_22K_750">#REF!</definedName>
    <definedName name="n_22K_900" localSheetId="0">'Kompakt&amp;Ventiil&amp;T6&amp;Moodsad'!$D$53</definedName>
    <definedName name="n_22K_900">#REF!</definedName>
    <definedName name="n_22K_954" localSheetId="0">'Kompakt&amp;Ventiil&amp;T6&amp;Moodsad'!$D$54</definedName>
    <definedName name="n_22K_954">#REF!</definedName>
    <definedName name="n_22P_300" localSheetId="0">#REF!</definedName>
    <definedName name="n_22P_300">'PLAN'!$E$38</definedName>
    <definedName name="n_22P_400" localSheetId="0">#REF!</definedName>
    <definedName name="n_22P_400">'PLAN'!$E$39</definedName>
    <definedName name="n_22P_500" localSheetId="0">#REF!</definedName>
    <definedName name="n_22P_500">'PLAN'!$E$40</definedName>
    <definedName name="n_22P_600" localSheetId="0">#REF!</definedName>
    <definedName name="n_22P_600">'PLAN'!$E$41</definedName>
    <definedName name="n_22P_900" localSheetId="0">#REF!</definedName>
    <definedName name="n_22P_900">'PLAN'!$E$42</definedName>
    <definedName name="n_33K_300" localSheetId="0">'Kompakt&amp;Ventiil&amp;T6&amp;Moodsad'!$D$55</definedName>
    <definedName name="n_33K_300">#REF!</definedName>
    <definedName name="n_33K_400" localSheetId="0">'Kompakt&amp;Ventiil&amp;T6&amp;Moodsad'!$D$56</definedName>
    <definedName name="n_33K_400">#REF!</definedName>
    <definedName name="n_33K_500" localSheetId="0">'Kompakt&amp;Ventiil&amp;T6&amp;Moodsad'!$D$57</definedName>
    <definedName name="n_33K_500">#REF!</definedName>
    <definedName name="n_33K_554" localSheetId="0">'Kompakt&amp;Ventiil&amp;T6&amp;Moodsad'!$D$58</definedName>
    <definedName name="n_33K_554">#REF!</definedName>
    <definedName name="n_33K_600" localSheetId="0">'Kompakt&amp;Ventiil&amp;T6&amp;Moodsad'!$D$59</definedName>
    <definedName name="n_33K_600">#REF!</definedName>
    <definedName name="n_33K_750" localSheetId="0">'Kompakt&amp;Ventiil&amp;T6&amp;Moodsad'!$D$60</definedName>
    <definedName name="n_33K_750">#REF!</definedName>
    <definedName name="n_33K_900" localSheetId="0">'Kompakt&amp;Ventiil&amp;T6&amp;Moodsad'!$D$61</definedName>
    <definedName name="n_33K_900">#REF!</definedName>
    <definedName name="n_33K_954" localSheetId="0">'Kompakt&amp;Ventiil&amp;T6&amp;Moodsad'!$D$62</definedName>
    <definedName name="n_33K_954">#REF!</definedName>
    <definedName name="n_33P_300" localSheetId="0">#REF!</definedName>
    <definedName name="n_33P_300">'PLAN'!$E$43</definedName>
    <definedName name="n_33P_400" localSheetId="0">#REF!</definedName>
    <definedName name="n_33P_400">'PLAN'!$E$44</definedName>
    <definedName name="n_33P_500" localSheetId="0">#REF!</definedName>
    <definedName name="n_33P_500">'PLAN'!$E$45</definedName>
    <definedName name="n_33P_600" localSheetId="0">#REF!</definedName>
    <definedName name="n_33P_600">'PLAN'!$E$46</definedName>
    <definedName name="n_33P_900" localSheetId="0">#REF!</definedName>
    <definedName name="n_33P_900">'PLAN'!$E$47</definedName>
    <definedName name="T10_300" localSheetId="0">'Kompakt&amp;Ventiil&amp;T6&amp;Moodsad'!$G$19</definedName>
    <definedName name="T10_300" localSheetId="1">'PLAN'!#REF!</definedName>
    <definedName name="T10_300">#REF!</definedName>
    <definedName name="T10_400" localSheetId="0">'Kompakt&amp;Ventiil&amp;T6&amp;Moodsad'!$G$20</definedName>
    <definedName name="T10_400" localSheetId="1">'PLAN'!#REF!</definedName>
    <definedName name="T10_400">#REF!</definedName>
    <definedName name="T10_500" localSheetId="0">'Kompakt&amp;Ventiil&amp;T6&amp;Moodsad'!$G$21</definedName>
    <definedName name="T10_500" localSheetId="1">'PLAN'!#REF!</definedName>
    <definedName name="T10_500">#REF!</definedName>
    <definedName name="T10_554" localSheetId="0">'Kompakt&amp;Ventiil&amp;T6&amp;Moodsad'!$G$22</definedName>
    <definedName name="T10_554" localSheetId="1">'PLAN'!#REF!</definedName>
    <definedName name="T10_554">#REF!</definedName>
    <definedName name="T10_600" localSheetId="0">'Kompakt&amp;Ventiil&amp;T6&amp;Moodsad'!$G$23</definedName>
    <definedName name="T10_600" localSheetId="1">'PLAN'!#REF!</definedName>
    <definedName name="T10_600">#REF!</definedName>
    <definedName name="T10_750" localSheetId="0">'Kompakt&amp;Ventiil&amp;T6&amp;Moodsad'!$G$24</definedName>
    <definedName name="T10_750" localSheetId="1">'PLAN'!#REF!</definedName>
    <definedName name="T10_750">#REF!</definedName>
    <definedName name="T10_900" localSheetId="0">'Kompakt&amp;Ventiil&amp;T6&amp;Moodsad'!$G$25</definedName>
    <definedName name="T10_900" localSheetId="1">'PLAN'!#REF!</definedName>
    <definedName name="T10_900">#REF!</definedName>
    <definedName name="T10PV_1400">#REF!</definedName>
    <definedName name="T10PV_1600">#REF!</definedName>
    <definedName name="T10PV_1800">#REF!</definedName>
    <definedName name="T10PV_2000">#REF!</definedName>
    <definedName name="T10PV_2200">#REF!</definedName>
    <definedName name="T10PV_2400">#REF!</definedName>
    <definedName name="T10V_1400" localSheetId="0">#REF!</definedName>
    <definedName name="T10V_1400" localSheetId="4">'plan vertikaalsed'!$G$18</definedName>
    <definedName name="T10V_1400">'VERTIKAALSED'!$F$18</definedName>
    <definedName name="T10V_1600" localSheetId="0">#REF!</definedName>
    <definedName name="T10V_1600" localSheetId="4">'plan vertikaalsed'!$G$19</definedName>
    <definedName name="T10V_1600">'VERTIKAALSED'!$F$19</definedName>
    <definedName name="T10V_1800" localSheetId="0">#REF!</definedName>
    <definedName name="T10V_1800" localSheetId="4">'plan vertikaalsed'!$G$20</definedName>
    <definedName name="T10V_1800">'VERTIKAALSED'!$F$20</definedName>
    <definedName name="T10V_2000" localSheetId="0">#REF!</definedName>
    <definedName name="T10V_2000" localSheetId="4">'plan vertikaalsed'!$G$21</definedName>
    <definedName name="T10V_2000">'VERTIKAALSED'!$F$21</definedName>
    <definedName name="T10V_2200" localSheetId="0">#REF!</definedName>
    <definedName name="T10V_2200" localSheetId="4">'plan vertikaalsed'!$G$22</definedName>
    <definedName name="T10V_2200">'VERTIKAALSED'!$F$22</definedName>
    <definedName name="T10V_2400" localSheetId="0">#REF!</definedName>
    <definedName name="T10V_2400" localSheetId="4">'plan vertikaalsed'!$G$23</definedName>
    <definedName name="T10V_2400">'VERTIKAALSED'!$F$23</definedName>
    <definedName name="T10V_2600" localSheetId="0">#REF!</definedName>
    <definedName name="T10V_2600" localSheetId="4">'plan vertikaalsed'!$G$24</definedName>
    <definedName name="T10V_2600">'VERTIKAALSED'!$F$24</definedName>
    <definedName name="T11_300" localSheetId="0">'Kompakt&amp;Ventiil&amp;T6&amp;Moodsad'!#REF!</definedName>
    <definedName name="T11_300" localSheetId="1">'PLAN'!#REF!</definedName>
    <definedName name="T11_300">#REF!</definedName>
    <definedName name="T11_400" localSheetId="0">'Kompakt&amp;Ventiil&amp;T6&amp;Moodsad'!#REF!</definedName>
    <definedName name="T11_400" localSheetId="1">'PLAN'!#REF!</definedName>
    <definedName name="T11_400">#REF!</definedName>
    <definedName name="T11_500" localSheetId="0">'Kompakt&amp;Ventiil&amp;T6&amp;Moodsad'!#REF!</definedName>
    <definedName name="T11_500" localSheetId="1">'PLAN'!#REF!</definedName>
    <definedName name="T11_500">#REF!</definedName>
    <definedName name="T11_554" localSheetId="0">'Kompakt&amp;Ventiil&amp;T6&amp;Moodsad'!#REF!</definedName>
    <definedName name="T11_554" localSheetId="1">'PLAN'!#REF!</definedName>
    <definedName name="T11_554">#REF!</definedName>
    <definedName name="T11_600" localSheetId="0">'Kompakt&amp;Ventiil&amp;T6&amp;Moodsad'!#REF!</definedName>
    <definedName name="T11_600" localSheetId="1">'PLAN'!#REF!</definedName>
    <definedName name="T11_600">#REF!</definedName>
    <definedName name="T11_750" localSheetId="0">'Kompakt&amp;Ventiil&amp;T6&amp;Moodsad'!#REF!</definedName>
    <definedName name="T11_750" localSheetId="1">'PLAN'!#REF!</definedName>
    <definedName name="T11_750">#REF!</definedName>
    <definedName name="T11_900" localSheetId="0">'Kompakt&amp;Ventiil&amp;T6&amp;Moodsad'!#REF!</definedName>
    <definedName name="T11_900" localSheetId="1">'PLAN'!#REF!</definedName>
    <definedName name="T11_900">#REF!</definedName>
    <definedName name="T11K_300" localSheetId="0">'Kompakt&amp;Ventiil&amp;T6&amp;Moodsad'!$G$26</definedName>
    <definedName name="T11K_300" localSheetId="1">'PLAN'!$I$21</definedName>
    <definedName name="T11K_300">#REF!</definedName>
    <definedName name="T11K_400" localSheetId="0">'Kompakt&amp;Ventiil&amp;T6&amp;Moodsad'!$G$27</definedName>
    <definedName name="T11K_400" localSheetId="1">'PLAN'!$I$22</definedName>
    <definedName name="T11K_400">#REF!</definedName>
    <definedName name="T11K_500" localSheetId="0">'Kompakt&amp;Ventiil&amp;T6&amp;Moodsad'!$G$28</definedName>
    <definedName name="T11K_500" localSheetId="1">'PLAN'!$I$23</definedName>
    <definedName name="T11K_500">#REF!</definedName>
    <definedName name="T11K_554" localSheetId="0">'Kompakt&amp;Ventiil&amp;T6&amp;Moodsad'!#REF!</definedName>
    <definedName name="T11K_554" localSheetId="1">'PLAN'!#REF!</definedName>
    <definedName name="T11K_554">#REF!</definedName>
    <definedName name="T11K_600" localSheetId="0">'Kompakt&amp;Ventiil&amp;T6&amp;Moodsad'!$G$29</definedName>
    <definedName name="T11K_600" localSheetId="1">'PLAN'!$I$24</definedName>
    <definedName name="T11K_600">#REF!</definedName>
    <definedName name="T11K_750" localSheetId="0">'Kompakt&amp;Ventiil&amp;T6&amp;Moodsad'!$G$30</definedName>
    <definedName name="T11K_750" localSheetId="1">'PLAN'!#REF!</definedName>
    <definedName name="T11K_750">#REF!</definedName>
    <definedName name="T11K_900" localSheetId="0">'Kompakt&amp;Ventiil&amp;T6&amp;Moodsad'!$G$31</definedName>
    <definedName name="T11K_900" localSheetId="1">'PLAN'!$I$25</definedName>
    <definedName name="T11K_900">#REF!</definedName>
    <definedName name="T12K_300" localSheetId="0">'Kompakt&amp;Ventiil&amp;T6&amp;Moodsad'!#REF!</definedName>
    <definedName name="T12K_300" localSheetId="1">'PLAN'!#REF!</definedName>
    <definedName name="T12K_300">#REF!</definedName>
    <definedName name="T12K_400" localSheetId="0">'Kompakt&amp;Ventiil&amp;T6&amp;Moodsad'!#REF!</definedName>
    <definedName name="T12K_400" localSheetId="1">'PLAN'!#REF!</definedName>
    <definedName name="T12K_400">#REF!</definedName>
    <definedName name="T12K_500" localSheetId="0">'Kompakt&amp;Ventiil&amp;T6&amp;Moodsad'!#REF!</definedName>
    <definedName name="T12K_500" localSheetId="1">'PLAN'!#REF!</definedName>
    <definedName name="T12K_500">#REF!</definedName>
    <definedName name="T12K_554" localSheetId="0">'Kompakt&amp;Ventiil&amp;T6&amp;Moodsad'!#REF!</definedName>
    <definedName name="T12K_554" localSheetId="1">'PLAN'!#REF!</definedName>
    <definedName name="T12K_554">#REF!</definedName>
    <definedName name="T12K_600" localSheetId="0">'Kompakt&amp;Ventiil&amp;T6&amp;Moodsad'!#REF!</definedName>
    <definedName name="T12K_600" localSheetId="1">'PLAN'!#REF!</definedName>
    <definedName name="T12K_600">#REF!</definedName>
    <definedName name="T12K_750" localSheetId="0">'Kompakt&amp;Ventiil&amp;T6&amp;Moodsad'!#REF!</definedName>
    <definedName name="T12K_750" localSheetId="1">'PLAN'!#REF!</definedName>
    <definedName name="T12K_750">#REF!</definedName>
    <definedName name="T12K_900" localSheetId="0">'Kompakt&amp;Ventiil&amp;T6&amp;Moodsad'!#REF!</definedName>
    <definedName name="T12K_900" localSheetId="1">'PLAN'!#REF!</definedName>
    <definedName name="T12K_900">#REF!</definedName>
    <definedName name="T20K_300" localSheetId="0">'Kompakt&amp;Ventiil&amp;T6&amp;Moodsad'!$G$32</definedName>
    <definedName name="T20K_300" localSheetId="1">'PLAN'!$I$26</definedName>
    <definedName name="T20K_300">#REF!</definedName>
    <definedName name="T20K_400" localSheetId="0">'Kompakt&amp;Ventiil&amp;T6&amp;Moodsad'!$G$33</definedName>
    <definedName name="T20K_400" localSheetId="1">'PLAN'!$I$27</definedName>
    <definedName name="T20K_400">#REF!</definedName>
    <definedName name="T20K_500" localSheetId="0">'Kompakt&amp;Ventiil&amp;T6&amp;Moodsad'!$G$34</definedName>
    <definedName name="T20K_500" localSheetId="1">'PLAN'!$I$28</definedName>
    <definedName name="T20K_500">#REF!</definedName>
    <definedName name="T20K_554" localSheetId="0">'Kompakt&amp;Ventiil&amp;T6&amp;Moodsad'!$G$35</definedName>
    <definedName name="T20K_554" localSheetId="1">'PLAN'!$I$29</definedName>
    <definedName name="T20K_554">#REF!</definedName>
    <definedName name="T20K_600" localSheetId="0">'Kompakt&amp;Ventiil&amp;T6&amp;Moodsad'!$G$36</definedName>
    <definedName name="T20K_600" localSheetId="1">'PLAN'!$I$30</definedName>
    <definedName name="T20K_600">#REF!</definedName>
    <definedName name="T20K_750" localSheetId="0">'Kompakt&amp;Ventiil&amp;T6&amp;Moodsad'!$G$37</definedName>
    <definedName name="T20K_750" localSheetId="1">'PLAN'!$I$31</definedName>
    <definedName name="T20K_750">#REF!</definedName>
    <definedName name="T20K_900" localSheetId="0">'Kompakt&amp;Ventiil&amp;T6&amp;Moodsad'!$G$38</definedName>
    <definedName name="T20K_900" localSheetId="1">'PLAN'!$I$32</definedName>
    <definedName name="T20K_900">#REF!</definedName>
    <definedName name="T20PV_1400">#REF!</definedName>
    <definedName name="T20PV_1600">#REF!</definedName>
    <definedName name="T20PV_1800">#REF!</definedName>
    <definedName name="T20PV_2000">#REF!</definedName>
    <definedName name="T20PV_2200">#REF!</definedName>
    <definedName name="T20PV_2400">#REF!</definedName>
    <definedName name="T20V_1400" localSheetId="0">#REF!</definedName>
    <definedName name="T20V_1400" localSheetId="4">'plan vertikaalsed'!$G$25</definedName>
    <definedName name="T20V_1400">'VERTIKAALSED'!$F$25</definedName>
    <definedName name="T20V_1600" localSheetId="0">#REF!</definedName>
    <definedName name="T20V_1600" localSheetId="4">'plan vertikaalsed'!$G$26</definedName>
    <definedName name="T20V_1600">'VERTIKAALSED'!$F$26</definedName>
    <definedName name="T20V_1800" localSheetId="0">#REF!</definedName>
    <definedName name="T20V_1800" localSheetId="4">'plan vertikaalsed'!$G$27</definedName>
    <definedName name="T20V_1800">'VERTIKAALSED'!$F$27</definedName>
    <definedName name="T20V_2000" localSheetId="0">#REF!</definedName>
    <definedName name="T20V_2000" localSheetId="4">'plan vertikaalsed'!$G$28</definedName>
    <definedName name="T20V_2000">'VERTIKAALSED'!$F$28</definedName>
    <definedName name="T20V_2200" localSheetId="0">#REF!</definedName>
    <definedName name="T20V_2200" localSheetId="4">'plan vertikaalsed'!$G$29</definedName>
    <definedName name="T20V_2200">'VERTIKAALSED'!$F$29</definedName>
    <definedName name="T20V_2400" localSheetId="0">#REF!</definedName>
    <definedName name="T20V_2400" localSheetId="4">'plan vertikaalsed'!$G$30</definedName>
    <definedName name="T20V_2400">'VERTIKAALSED'!$F$30</definedName>
    <definedName name="T20V_2600" localSheetId="0">#REF!</definedName>
    <definedName name="T20V_2600" localSheetId="4">'plan vertikaalsed'!$G$31</definedName>
    <definedName name="T20V_2600">'VERTIKAALSED'!$F$31</definedName>
    <definedName name="T21K_300" localSheetId="0">'Kompakt&amp;Ventiil&amp;T6&amp;Moodsad'!$G$39</definedName>
    <definedName name="T21K_300" localSheetId="1">'PLAN'!$I$33</definedName>
    <definedName name="T21K_300">#REF!</definedName>
    <definedName name="T21K_400" localSheetId="0">'Kompakt&amp;Ventiil&amp;T6&amp;Moodsad'!$G$40</definedName>
    <definedName name="T21K_400" localSheetId="1">'PLAN'!$I$34</definedName>
    <definedName name="T21K_400">#REF!</definedName>
    <definedName name="T21K_500" localSheetId="0">'Kompakt&amp;Ventiil&amp;T6&amp;Moodsad'!$G$41</definedName>
    <definedName name="T21K_500" localSheetId="1">'PLAN'!$I$35</definedName>
    <definedName name="T21K_500">#REF!</definedName>
    <definedName name="T21K_554" localSheetId="0">'Kompakt&amp;Ventiil&amp;T6&amp;Moodsad'!$G$42</definedName>
    <definedName name="T21K_554" localSheetId="1">'PLAN'!#REF!</definedName>
    <definedName name="T21K_554">#REF!</definedName>
    <definedName name="T21K_600" localSheetId="0">'Kompakt&amp;Ventiil&amp;T6&amp;Moodsad'!$G$43</definedName>
    <definedName name="T21K_600" localSheetId="1">'PLAN'!$I$36</definedName>
    <definedName name="T21K_600">#REF!</definedName>
    <definedName name="T21K_750" localSheetId="0">'Kompakt&amp;Ventiil&amp;T6&amp;Moodsad'!$G$44</definedName>
    <definedName name="T21K_750" localSheetId="1">'PLAN'!#REF!</definedName>
    <definedName name="T21K_750">#REF!</definedName>
    <definedName name="T21K_900" localSheetId="0">'Kompakt&amp;Ventiil&amp;T6&amp;Moodsad'!$G$45</definedName>
    <definedName name="T21K_900" localSheetId="1">'PLAN'!$I$37</definedName>
    <definedName name="T21K_900">#REF!</definedName>
    <definedName name="T21K_954" localSheetId="0">'Kompakt&amp;Ventiil&amp;T6&amp;Moodsad'!$G$46</definedName>
    <definedName name="T21K_954">#REF!</definedName>
    <definedName name="T22K_300" localSheetId="0">'Kompakt&amp;Ventiil&amp;T6&amp;Moodsad'!$G$47</definedName>
    <definedName name="T22K_300" localSheetId="1">'PLAN'!$I$38</definedName>
    <definedName name="T22K_300">#REF!</definedName>
    <definedName name="T22K_400" localSheetId="0">'Kompakt&amp;Ventiil&amp;T6&amp;Moodsad'!$G$48</definedName>
    <definedName name="T22K_400" localSheetId="1">'PLAN'!$I$39</definedName>
    <definedName name="T22K_400">#REF!</definedName>
    <definedName name="T22K_500" localSheetId="0">'Kompakt&amp;Ventiil&amp;T6&amp;Moodsad'!$G$49</definedName>
    <definedName name="T22K_500" localSheetId="1">'PLAN'!$I$40</definedName>
    <definedName name="T22K_500">#REF!</definedName>
    <definedName name="T22K_554" localSheetId="0">'Kompakt&amp;Ventiil&amp;T6&amp;Moodsad'!$G$50</definedName>
    <definedName name="T22K_554" localSheetId="1">'PLAN'!#REF!</definedName>
    <definedName name="T22K_554">#REF!</definedName>
    <definedName name="T22K_600" localSheetId="0">'Kompakt&amp;Ventiil&amp;T6&amp;Moodsad'!$G$51</definedName>
    <definedName name="T22K_600" localSheetId="1">'PLAN'!$I$41</definedName>
    <definedName name="T22K_600">#REF!</definedName>
    <definedName name="T22K_750" localSheetId="0">'Kompakt&amp;Ventiil&amp;T6&amp;Moodsad'!$G$52</definedName>
    <definedName name="T22K_750" localSheetId="1">'PLAN'!#REF!</definedName>
    <definedName name="T22K_750">#REF!</definedName>
    <definedName name="T22K_900" localSheetId="0">'Kompakt&amp;Ventiil&amp;T6&amp;Moodsad'!$G$53</definedName>
    <definedName name="T22K_900" localSheetId="1">'PLAN'!$I$42</definedName>
    <definedName name="T22K_900">#REF!</definedName>
    <definedName name="T22K_954" localSheetId="0">'Kompakt&amp;Ventiil&amp;T6&amp;Moodsad'!$G$54</definedName>
    <definedName name="T22K_954">#REF!</definedName>
    <definedName name="T33K_300" localSheetId="0">'Kompakt&amp;Ventiil&amp;T6&amp;Moodsad'!$G$55</definedName>
    <definedName name="T33K_300" localSheetId="1">'PLAN'!$I$43</definedName>
    <definedName name="T33K_300">#REF!</definedName>
    <definedName name="T33K_400" localSheetId="0">'Kompakt&amp;Ventiil&amp;T6&amp;Moodsad'!$G$56</definedName>
    <definedName name="T33K_400" localSheetId="1">'PLAN'!$I$44</definedName>
    <definedName name="T33K_400">#REF!</definedName>
    <definedName name="T33K_500" localSheetId="0">'Kompakt&amp;Ventiil&amp;T6&amp;Moodsad'!$G$57</definedName>
    <definedName name="T33K_500" localSheetId="1">'PLAN'!$I$45</definedName>
    <definedName name="T33K_500">#REF!</definedName>
    <definedName name="T33K_554" localSheetId="0">'Kompakt&amp;Ventiil&amp;T6&amp;Moodsad'!$G$58</definedName>
    <definedName name="T33K_554" localSheetId="1">'PLAN'!#REF!</definedName>
    <definedName name="T33K_554">#REF!</definedName>
    <definedName name="T33K_600" localSheetId="0">'Kompakt&amp;Ventiil&amp;T6&amp;Moodsad'!$G$59</definedName>
    <definedName name="T33K_600" localSheetId="1">'PLAN'!$I$46</definedName>
    <definedName name="T33K_600">#REF!</definedName>
    <definedName name="T33K_750" localSheetId="0">'Kompakt&amp;Ventiil&amp;T6&amp;Moodsad'!$G$60</definedName>
    <definedName name="T33K_750" localSheetId="1">'PLAN'!#REF!</definedName>
    <definedName name="T33K_750">#REF!</definedName>
    <definedName name="T33K_900" localSheetId="0">'Kompakt&amp;Ventiil&amp;T6&amp;Moodsad'!$G$61</definedName>
    <definedName name="T33K_900" localSheetId="1">'PLAN'!$I$47</definedName>
    <definedName name="T33K_900">#REF!</definedName>
    <definedName name="T33K_954" localSheetId="0">'Kompakt&amp;Ventiil&amp;T6&amp;Moodsad'!$G$62</definedName>
    <definedName name="T33K_954">#REF!</definedName>
    <definedName name="_xlnm.Print_Area" localSheetId="2">'HUGIEENILISED'!$J$9:$Z$42</definedName>
    <definedName name="_xlnm.Print_Area" localSheetId="0">'Kompakt&amp;Ventiil&amp;T6&amp;Moodsad'!$M$10:$AN$39</definedName>
    <definedName name="_xlnm.Print_Area" localSheetId="1">'PLAN'!$N$9:$AH$38</definedName>
    <definedName name="_xlnm.Print_Area" localSheetId="4">'plan vertikaalsed'!$L$9:$X$33</definedName>
    <definedName name="_xlnm.Print_Area" localSheetId="3">'VERTIKAALSED'!$K$9:$Y$33</definedName>
  </definedNames>
  <calcPr fullCalcOnLoad="1"/>
</workbook>
</file>

<file path=xl/sharedStrings.xml><?xml version="1.0" encoding="utf-8"?>
<sst xmlns="http://schemas.openxmlformats.org/spreadsheetml/2006/main" count="332" uniqueCount="121">
  <si>
    <t>Delta T ar</t>
  </si>
  <si>
    <t>Type</t>
  </si>
  <si>
    <t>Exponent</t>
  </si>
  <si>
    <t>Korr.-Faktor</t>
  </si>
  <si>
    <t>PnEN442/lfm</t>
  </si>
  <si>
    <t>P EN442/lfm</t>
  </si>
  <si>
    <t>75/65 -xx/xx</t>
  </si>
  <si>
    <t>11K</t>
  </si>
  <si>
    <t>21K</t>
  </si>
  <si>
    <t>22K</t>
  </si>
  <si>
    <t>33K</t>
  </si>
  <si>
    <t>10/300</t>
  </si>
  <si>
    <t>11KV</t>
  </si>
  <si>
    <t>21KV</t>
  </si>
  <si>
    <t>22KV</t>
  </si>
  <si>
    <t>33KV</t>
  </si>
  <si>
    <t xml:space="preserve"> </t>
  </si>
  <si>
    <t>10/400</t>
  </si>
  <si>
    <t>10/500</t>
  </si>
  <si>
    <t>10/600</t>
  </si>
  <si>
    <t>10/900</t>
  </si>
  <si>
    <t>11K/300</t>
  </si>
  <si>
    <t>11K/400</t>
  </si>
  <si>
    <t>11K/500</t>
  </si>
  <si>
    <t>11K/600</t>
  </si>
  <si>
    <t>11K/900</t>
  </si>
  <si>
    <t>20K/300</t>
  </si>
  <si>
    <t>20K/400</t>
  </si>
  <si>
    <t>20K/500</t>
  </si>
  <si>
    <t>20K/600</t>
  </si>
  <si>
    <t>20K/900</t>
  </si>
  <si>
    <t>21K/300</t>
  </si>
  <si>
    <t>21K/400</t>
  </si>
  <si>
    <t>21K/500</t>
  </si>
  <si>
    <t>21K/600</t>
  </si>
  <si>
    <t>21K/900</t>
  </si>
  <si>
    <t>22K/300</t>
  </si>
  <si>
    <t>22K/400</t>
  </si>
  <si>
    <t>22K/500</t>
  </si>
  <si>
    <t>22K/600</t>
  </si>
  <si>
    <t>22K/900</t>
  </si>
  <si>
    <t>33K/300</t>
  </si>
  <si>
    <t>33K/400</t>
  </si>
  <si>
    <t>33K/500</t>
  </si>
  <si>
    <t>33K/600</t>
  </si>
  <si>
    <t>33K/900</t>
  </si>
  <si>
    <t>Eingabe der gewünschten Vorlauf-, Rücklauf- und Lufttemperaturen in die Zellen A9, A10 und A11</t>
  </si>
  <si>
    <t>&gt;&gt;&gt;</t>
  </si>
  <si>
    <t>10/554</t>
  </si>
  <si>
    <t>10/750</t>
  </si>
  <si>
    <t>11K/750</t>
  </si>
  <si>
    <t>20K/554</t>
  </si>
  <si>
    <t>20K/750</t>
  </si>
  <si>
    <t>21K/554</t>
  </si>
  <si>
    <t>21K/750</t>
  </si>
  <si>
    <t>22K/554</t>
  </si>
  <si>
    <t>33K/554</t>
  </si>
  <si>
    <t>33K/750</t>
  </si>
  <si>
    <t>10V/BH1400</t>
  </si>
  <si>
    <t>10V/BH1600</t>
  </si>
  <si>
    <t>10V/BH1800</t>
  </si>
  <si>
    <t>10V/BH2000</t>
  </si>
  <si>
    <t>10V/BH2200</t>
  </si>
  <si>
    <t>10V/BH2400</t>
  </si>
  <si>
    <t>20V/BH1400</t>
  </si>
  <si>
    <t>20V/BH1600</t>
  </si>
  <si>
    <t>20V/BH1800</t>
  </si>
  <si>
    <t>20V/BH2000</t>
  </si>
  <si>
    <t>20V/BH2200</t>
  </si>
  <si>
    <t>20V/BH2400</t>
  </si>
  <si>
    <t>c</t>
  </si>
  <si>
    <t>Delta T ln</t>
  </si>
  <si>
    <t xml:space="preserve">Delta T ar </t>
  </si>
  <si>
    <t xml:space="preserve">Quot. Delta T </t>
  </si>
  <si>
    <t>22K/750</t>
  </si>
  <si>
    <t>22K/954</t>
  </si>
  <si>
    <t>Einheitenkoeff.</t>
  </si>
  <si>
    <t>PnEN442/Sicke</t>
  </si>
  <si>
    <t>11P</t>
  </si>
  <si>
    <t>21P</t>
  </si>
  <si>
    <t>22P</t>
  </si>
  <si>
    <t>33P</t>
  </si>
  <si>
    <t xml:space="preserve">22P </t>
  </si>
  <si>
    <t xml:space="preserve">33P </t>
  </si>
  <si>
    <t xml:space="preserve">11P </t>
  </si>
  <si>
    <t xml:space="preserve">21P </t>
  </si>
  <si>
    <t xml:space="preserve">33P  </t>
  </si>
  <si>
    <t>11PV</t>
  </si>
  <si>
    <t>21PV</t>
  </si>
  <si>
    <t>22PV</t>
  </si>
  <si>
    <t>33PV</t>
  </si>
  <si>
    <t>10 VM</t>
  </si>
  <si>
    <t>20 VM</t>
  </si>
  <si>
    <t>30 VM</t>
  </si>
  <si>
    <t>21K/954</t>
  </si>
  <si>
    <t>33K/954</t>
  </si>
  <si>
    <t>Exponent n</t>
  </si>
  <si>
    <t>Temperatuur sissevoolul [°C]</t>
  </si>
  <si>
    <t>Temperatuur väljavoolul [°C]</t>
  </si>
  <si>
    <t>Ruumi temperatuur [°C]</t>
  </si>
  <si>
    <t>Tüüp</t>
  </si>
  <si>
    <t>Kõrgus</t>
  </si>
  <si>
    <t>Pikkus</t>
  </si>
  <si>
    <t>Ühiku täitmiseks tabel: 0 = Watt, 1 = kcal/h, 2 = BTU/h</t>
  </si>
  <si>
    <r>
      <t xml:space="preserve">Ühiku täitmiseks tabel:  </t>
    </r>
    <r>
      <rPr>
        <sz val="8"/>
        <rFont val="Arial"/>
        <family val="2"/>
      </rPr>
      <t>0 = Watt, 1 = kcal/h, 2 = BTU/h</t>
    </r>
  </si>
  <si>
    <t>Quot.Delta T</t>
  </si>
  <si>
    <t>Kompakt &amp; Ventiil &amp; T6 &amp; Moodsad radiaatorid</t>
  </si>
  <si>
    <r>
      <t>Külgseinad ja ülavõre on võimsusarvutustel arvesse võetud</t>
    </r>
    <r>
      <rPr>
        <b/>
        <sz val="12"/>
        <color indexed="10"/>
        <rFont val="Arial"/>
        <family val="2"/>
      </rPr>
      <t xml:space="preserve"> (Kompakt, Ventiil ja T6 radiaatorid)</t>
    </r>
  </si>
  <si>
    <r>
      <t>Külgseinad ja ülavõre on võimsusarvutustel arvesse võetud</t>
    </r>
    <r>
      <rPr>
        <b/>
        <sz val="12"/>
        <color indexed="10"/>
        <rFont val="Arial"/>
        <family val="2"/>
      </rPr>
      <t xml:space="preserve"> (Moodsad radiaatorid)</t>
    </r>
  </si>
  <si>
    <t>Ruumi temperatuur[°C]</t>
  </si>
  <si>
    <t>Külgseinad ja ülavõre on võimsusarvutustel arvesse võetud</t>
  </si>
  <si>
    <t>Quot. Delta T</t>
  </si>
  <si>
    <r>
      <t xml:space="preserve">Ühiku täitmiseks tabel:  </t>
    </r>
    <r>
      <rPr>
        <sz val="6"/>
        <color indexed="12"/>
        <rFont val="Arial"/>
        <family val="2"/>
      </rPr>
      <t>0 = Watt, 1 = kcal/h, 2 = BTU/h</t>
    </r>
  </si>
  <si>
    <r>
      <rPr>
        <b/>
        <sz val="10"/>
        <rFont val="Arial"/>
        <family val="2"/>
      </rPr>
      <t>Ühiku täitmiseks tabel: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0 = Watt, 1 = kcal/h, 2 = BTU/h</t>
    </r>
  </si>
  <si>
    <t>Plan &amp; Plan Ventiil &amp; Plan T6</t>
  </si>
  <si>
    <t>Hügieenilised</t>
  </si>
  <si>
    <t>Soojendusvõimsus EN 442</t>
  </si>
  <si>
    <t>Temperatuur sissevoolul[°C]</t>
  </si>
  <si>
    <t>Vertikaalsed radiaatorid</t>
  </si>
  <si>
    <t>Vertikaalsed Plan radiaatorid</t>
  </si>
  <si>
    <t>Hügieenilised &amp; Hügieenilised T6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</si>
</sst>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0.00000000000000000"/>
    <numFmt numFmtId="195" formatCode="0.00000"/>
    <numFmt numFmtId="196" formatCode="0.000000"/>
    <numFmt numFmtId="197" formatCode="0.00000000"/>
    <numFmt numFmtId="198" formatCode="0.000000000"/>
    <numFmt numFmtId="199" formatCode="0.0000000000"/>
    <numFmt numFmtId="200" formatCode="0.00000000000"/>
    <numFmt numFmtId="201" formatCode="0.0000000"/>
    <numFmt numFmtId="202" formatCode="0.0000"/>
    <numFmt numFmtId="203" formatCode="0.0"/>
    <numFmt numFmtId="204" formatCode="0.000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6"/>
      <name val="Arial"/>
      <family val="2"/>
    </font>
    <font>
      <sz val="18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48"/>
      <name val="Arial"/>
      <family val="2"/>
    </font>
    <font>
      <sz val="15"/>
      <name val="Vogel&amp;Noot SymbolFont"/>
      <family val="0"/>
    </font>
    <font>
      <sz val="16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u val="single"/>
      <sz val="10"/>
      <name val="Arial"/>
      <family val="2"/>
    </font>
    <font>
      <sz val="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 horizontal="center"/>
      <protection hidden="1" locked="0"/>
    </xf>
    <xf numFmtId="0" fontId="6" fillId="0" borderId="0" xfId="0" applyFont="1" applyAlignment="1" applyProtection="1">
      <alignment/>
      <protection hidden="1" locked="0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202" fontId="0" fillId="0" borderId="0" xfId="0" applyNumberForma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Continuous"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 horizontal="centerContinuous"/>
      <protection hidden="1" locked="0"/>
    </xf>
    <xf numFmtId="0" fontId="0" fillId="0" borderId="0" xfId="0" applyFont="1" applyAlignment="1" applyProtection="1">
      <alignment/>
      <protection hidden="1"/>
    </xf>
    <xf numFmtId="202" fontId="0" fillId="33" borderId="0" xfId="0" applyNumberFormat="1" applyFill="1" applyAlignment="1" applyProtection="1">
      <alignment horizontal="center"/>
      <protection hidden="1"/>
    </xf>
    <xf numFmtId="202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202" fontId="0" fillId="0" borderId="0" xfId="0" applyNumberForma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hidden="1" locked="0"/>
    </xf>
    <xf numFmtId="1" fontId="0" fillId="0" borderId="0" xfId="0" applyNumberFormat="1" applyFill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 horizontal="left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 horizontal="centerContinuous"/>
      <protection hidden="1" locked="0"/>
    </xf>
    <xf numFmtId="0" fontId="7" fillId="0" borderId="0" xfId="0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horizontal="center"/>
      <protection hidden="1" locked="0"/>
    </xf>
    <xf numFmtId="0" fontId="7" fillId="0" borderId="0" xfId="0" applyFont="1" applyFill="1" applyBorder="1" applyAlignment="1" applyProtection="1">
      <alignment horizontal="center"/>
      <protection hidden="1" locked="0"/>
    </xf>
    <xf numFmtId="0" fontId="9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12" fillId="0" borderId="0" xfId="0" applyFont="1" applyAlignment="1" applyProtection="1">
      <alignment/>
      <protection hidden="1" locked="0"/>
    </xf>
    <xf numFmtId="1" fontId="0" fillId="33" borderId="0" xfId="0" applyNumberForma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NumberFormat="1" applyFill="1" applyBorder="1" applyAlignment="1" applyProtection="1">
      <alignment horizontal="center"/>
      <protection hidden="1"/>
    </xf>
    <xf numFmtId="202" fontId="0" fillId="0" borderId="0" xfId="0" applyNumberFormat="1" applyFill="1" applyAlignment="1" applyProtection="1">
      <alignment horizontal="left"/>
      <protection hidden="1"/>
    </xf>
    <xf numFmtId="0" fontId="13" fillId="0" borderId="0" xfId="0" applyFont="1" applyAlignment="1" applyProtection="1">
      <alignment/>
      <protection hidden="1"/>
    </xf>
    <xf numFmtId="14" fontId="0" fillId="0" borderId="0" xfId="0" applyNumberFormat="1" applyAlignment="1" applyProtection="1">
      <alignment horizontal="left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hidden="1"/>
    </xf>
    <xf numFmtId="0" fontId="14" fillId="34" borderId="0" xfId="0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202" fontId="19" fillId="0" borderId="0" xfId="0" applyNumberFormat="1" applyFont="1" applyAlignment="1" applyProtection="1">
      <alignment horizontal="center"/>
      <protection hidden="1"/>
    </xf>
    <xf numFmtId="1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NumberFormat="1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202" fontId="19" fillId="0" borderId="0" xfId="0" applyNumberFormat="1" applyFont="1" applyFill="1" applyAlignment="1" applyProtection="1">
      <alignment horizontal="center"/>
      <protection hidden="1"/>
    </xf>
    <xf numFmtId="1" fontId="19" fillId="0" borderId="0" xfId="0" applyNumberFormat="1" applyFont="1" applyAlignment="1" applyProtection="1">
      <alignment horizontal="center"/>
      <protection hidden="1"/>
    </xf>
    <xf numFmtId="2" fontId="19" fillId="0" borderId="0" xfId="0" applyNumberFormat="1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NumberFormat="1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202" fontId="17" fillId="0" borderId="0" xfId="0" applyNumberFormat="1" applyFont="1" applyFill="1" applyAlignment="1" applyProtection="1">
      <alignment horizontal="center"/>
      <protection hidden="1"/>
    </xf>
    <xf numFmtId="1" fontId="17" fillId="0" borderId="0" xfId="0" applyNumberFormat="1" applyFont="1" applyAlignment="1" applyProtection="1">
      <alignment horizontal="center"/>
      <protection hidden="1"/>
    </xf>
    <xf numFmtId="2" fontId="17" fillId="0" borderId="0" xfId="0" applyNumberFormat="1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202" fontId="20" fillId="0" borderId="0" xfId="0" applyNumberFormat="1" applyFont="1" applyFill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2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202" fontId="0" fillId="0" borderId="0" xfId="0" applyNumberFormat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202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02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202" fontId="0" fillId="33" borderId="0" xfId="0" applyNumberFormat="1" applyFill="1" applyAlignment="1" applyProtection="1">
      <alignment horizontal="center"/>
      <protection/>
    </xf>
    <xf numFmtId="1" fontId="0" fillId="33" borderId="0" xfId="0" applyNumberFormat="1" applyFill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1" fontId="19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204" fontId="19" fillId="0" borderId="0" xfId="0" applyNumberFormat="1" applyFont="1" applyAlignment="1" applyProtection="1">
      <alignment/>
      <protection hidden="1"/>
    </xf>
    <xf numFmtId="204" fontId="0" fillId="0" borderId="0" xfId="0" applyNumberForma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204" fontId="0" fillId="0" borderId="0" xfId="0" applyNumberFormat="1" applyAlignment="1" applyProtection="1">
      <alignment horizontal="center"/>
      <protection hidden="1"/>
    </xf>
    <xf numFmtId="204" fontId="0" fillId="0" borderId="0" xfId="0" applyNumberFormat="1" applyBorder="1" applyAlignment="1" applyProtection="1">
      <alignment/>
      <protection hidden="1"/>
    </xf>
    <xf numFmtId="204" fontId="18" fillId="0" borderId="0" xfId="0" applyNumberFormat="1" applyFont="1" applyBorder="1" applyAlignment="1" applyProtection="1">
      <alignment/>
      <protection hidden="1"/>
    </xf>
    <xf numFmtId="204" fontId="0" fillId="0" borderId="0" xfId="0" applyNumberFormat="1" applyFill="1" applyBorder="1" applyAlignment="1" applyProtection="1">
      <alignment/>
      <protection hidden="1"/>
    </xf>
    <xf numFmtId="204" fontId="1" fillId="0" borderId="0" xfId="0" applyNumberFormat="1" applyFont="1" applyBorder="1" applyAlignment="1" applyProtection="1">
      <alignment horizontal="center"/>
      <protection hidden="1"/>
    </xf>
    <xf numFmtId="204" fontId="0" fillId="0" borderId="0" xfId="0" applyNumberFormat="1" applyFont="1" applyBorder="1" applyAlignment="1" applyProtection="1">
      <alignment horizontal="center"/>
      <protection hidden="1"/>
    </xf>
    <xf numFmtId="204" fontId="0" fillId="0" borderId="0" xfId="0" applyNumberFormat="1" applyFill="1" applyBorder="1" applyAlignment="1" applyProtection="1">
      <alignment horizontal="center"/>
      <protection hidden="1"/>
    </xf>
    <xf numFmtId="204" fontId="0" fillId="0" borderId="0" xfId="0" applyNumberFormat="1" applyFill="1" applyAlignment="1" applyProtection="1">
      <alignment horizontal="center"/>
      <protection hidden="1"/>
    </xf>
    <xf numFmtId="204" fontId="19" fillId="0" borderId="0" xfId="0" applyNumberFormat="1" applyFont="1" applyFill="1" applyAlignment="1" applyProtection="1">
      <alignment horizontal="center"/>
      <protection hidden="1"/>
    </xf>
    <xf numFmtId="204" fontId="0" fillId="0" borderId="0" xfId="0" applyNumberFormat="1" applyFont="1" applyFill="1" applyAlignment="1" applyProtection="1">
      <alignment horizontal="center"/>
      <protection hidden="1"/>
    </xf>
    <xf numFmtId="204" fontId="0" fillId="0" borderId="0" xfId="0" applyNumberFormat="1" applyFill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204" fontId="0" fillId="0" borderId="0" xfId="0" applyNumberFormat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202" fontId="0" fillId="0" borderId="0" xfId="0" applyNumberFormat="1" applyFont="1" applyBorder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1" fillId="35" borderId="14" xfId="0" applyFont="1" applyFill="1" applyBorder="1" applyAlignment="1" applyProtection="1">
      <alignment/>
      <protection hidden="1"/>
    </xf>
    <xf numFmtId="204" fontId="1" fillId="35" borderId="14" xfId="0" applyNumberFormat="1" applyFont="1" applyFill="1" applyBorder="1" applyAlignment="1" applyProtection="1">
      <alignment horizontal="left"/>
      <protection hidden="1"/>
    </xf>
    <xf numFmtId="204" fontId="66" fillId="35" borderId="14" xfId="0" applyNumberFormat="1" applyFont="1" applyFill="1" applyBorder="1" applyAlignment="1" applyProtection="1">
      <alignment horizontal="center"/>
      <protection hidden="1"/>
    </xf>
    <xf numFmtId="204" fontId="1" fillId="36" borderId="14" xfId="0" applyNumberFormat="1" applyFont="1" applyFill="1" applyBorder="1" applyAlignment="1" applyProtection="1">
      <alignment/>
      <protection hidden="1"/>
    </xf>
    <xf numFmtId="204" fontId="0" fillId="0" borderId="0" xfId="0" applyNumberFormat="1" applyFill="1" applyBorder="1" applyAlignment="1" applyProtection="1">
      <alignment horizontal="left"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/>
      <protection hidden="1"/>
    </xf>
    <xf numFmtId="0" fontId="4" fillId="35" borderId="17" xfId="0" applyFont="1" applyFill="1" applyBorder="1" applyAlignment="1" applyProtection="1">
      <alignment/>
      <protection hidden="1"/>
    </xf>
    <xf numFmtId="0" fontId="5" fillId="35" borderId="18" xfId="0" applyFont="1" applyFill="1" applyBorder="1" applyAlignment="1" applyProtection="1">
      <alignment horizontal="center"/>
      <protection hidden="1"/>
    </xf>
    <xf numFmtId="0" fontId="5" fillId="35" borderId="19" xfId="0" applyFont="1" applyFill="1" applyBorder="1" applyAlignment="1" applyProtection="1">
      <alignment horizontal="center"/>
      <protection hidden="1"/>
    </xf>
    <xf numFmtId="0" fontId="5" fillId="35" borderId="20" xfId="0" applyFont="1" applyFill="1" applyBorder="1" applyAlignment="1" applyProtection="1">
      <alignment horizontal="center"/>
      <protection hidden="1"/>
    </xf>
    <xf numFmtId="0" fontId="5" fillId="35" borderId="21" xfId="0" applyFont="1" applyFill="1" applyBorder="1" applyAlignment="1" applyProtection="1">
      <alignment horizontal="center"/>
      <protection hidden="1"/>
    </xf>
    <xf numFmtId="0" fontId="5" fillId="35" borderId="22" xfId="0" applyFont="1" applyFill="1" applyBorder="1" applyAlignment="1" applyProtection="1">
      <alignment horizontal="center"/>
      <protection hidden="1"/>
    </xf>
    <xf numFmtId="0" fontId="4" fillId="35" borderId="23" xfId="0" applyFont="1" applyFill="1" applyBorder="1" applyAlignment="1" applyProtection="1">
      <alignment/>
      <protection hidden="1"/>
    </xf>
    <xf numFmtId="0" fontId="5" fillId="35" borderId="24" xfId="0" applyFont="1" applyFill="1" applyBorder="1" applyAlignment="1" applyProtection="1">
      <alignment horizontal="center"/>
      <protection hidden="1"/>
    </xf>
    <xf numFmtId="0" fontId="5" fillId="35" borderId="25" xfId="0" applyFont="1" applyFill="1" applyBorder="1" applyAlignment="1" applyProtection="1">
      <alignment horizontal="center"/>
      <protection hidden="1"/>
    </xf>
    <xf numFmtId="0" fontId="5" fillId="35" borderId="26" xfId="0" applyFont="1" applyFill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/>
      <protection hidden="1"/>
    </xf>
    <xf numFmtId="0" fontId="5" fillId="35" borderId="27" xfId="0" applyFont="1" applyFill="1" applyBorder="1" applyAlignment="1" applyProtection="1">
      <alignment horizontal="center"/>
      <protection hidden="1"/>
    </xf>
    <xf numFmtId="0" fontId="5" fillId="35" borderId="28" xfId="0" applyFont="1" applyFill="1" applyBorder="1" applyAlignment="1" applyProtection="1">
      <alignment horizontal="center"/>
      <protection hidden="1"/>
    </xf>
    <xf numFmtId="0" fontId="5" fillId="35" borderId="16" xfId="0" applyFont="1" applyFill="1" applyBorder="1" applyAlignment="1" applyProtection="1">
      <alignment horizontal="center"/>
      <protection hidden="1"/>
    </xf>
    <xf numFmtId="0" fontId="5" fillId="35" borderId="29" xfId="0" applyFont="1" applyFill="1" applyBorder="1" applyAlignment="1" applyProtection="1">
      <alignment horizontal="center"/>
      <protection hidden="1"/>
    </xf>
    <xf numFmtId="0" fontId="4" fillId="35" borderId="23" xfId="0" applyFont="1" applyFill="1" applyBorder="1" applyAlignment="1" applyProtection="1">
      <alignment horizontal="center"/>
      <protection hidden="1"/>
    </xf>
    <xf numFmtId="0" fontId="4" fillId="0" borderId="30" xfId="0" applyFont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2" borderId="31" xfId="0" applyFont="1" applyFill="1" applyBorder="1" applyAlignment="1" applyProtection="1">
      <alignment horizontal="center"/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4" fillId="2" borderId="30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0" xfId="0" applyFont="1" applyFill="1" applyBorder="1" applyAlignment="1" applyProtection="1">
      <alignment horizontal="center"/>
      <protection hidden="1"/>
    </xf>
    <xf numFmtId="0" fontId="4" fillId="0" borderId="31" xfId="0" applyFont="1" applyFill="1" applyBorder="1" applyAlignment="1" applyProtection="1">
      <alignment horizontal="center"/>
      <protection hidden="1"/>
    </xf>
    <xf numFmtId="204" fontId="4" fillId="37" borderId="32" xfId="0" applyNumberFormat="1" applyFont="1" applyFill="1" applyBorder="1" applyAlignment="1" applyProtection="1">
      <alignment horizontal="center"/>
      <protection hidden="1"/>
    </xf>
    <xf numFmtId="204" fontId="4" fillId="37" borderId="33" xfId="0" applyNumberFormat="1" applyFont="1" applyFill="1" applyBorder="1" applyAlignment="1" applyProtection="1">
      <alignment horizontal="center"/>
      <protection hidden="1"/>
    </xf>
    <xf numFmtId="204" fontId="4" fillId="37" borderId="34" xfId="0" applyNumberFormat="1" applyFont="1" applyFill="1" applyBorder="1" applyAlignment="1" applyProtection="1">
      <alignment horizontal="center"/>
      <protection hidden="1"/>
    </xf>
    <xf numFmtId="204" fontId="4" fillId="0" borderId="35" xfId="0" applyNumberFormat="1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left"/>
      <protection hidden="1"/>
    </xf>
    <xf numFmtId="0" fontId="1" fillId="0" borderId="37" xfId="0" applyFont="1" applyBorder="1" applyAlignment="1" applyProtection="1">
      <alignment/>
      <protection hidden="1"/>
    </xf>
    <xf numFmtId="0" fontId="1" fillId="0" borderId="36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1" fillId="0" borderId="37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10" fillId="36" borderId="14" xfId="0" applyFont="1" applyFill="1" applyBorder="1" applyAlignment="1" applyProtection="1">
      <alignment horizontal="center"/>
      <protection hidden="1" locked="0"/>
    </xf>
    <xf numFmtId="0" fontId="14" fillId="36" borderId="14" xfId="0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 horizontal="center"/>
      <protection hidden="1" locked="0"/>
    </xf>
    <xf numFmtId="0" fontId="10" fillId="0" borderId="0" xfId="0" applyFont="1" applyFill="1" applyBorder="1" applyAlignment="1" applyProtection="1">
      <alignment horizontal="center"/>
      <protection hidden="1" locked="0"/>
    </xf>
    <xf numFmtId="0" fontId="26" fillId="0" borderId="0" xfId="0" applyFont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NumberFormat="1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2" fontId="0" fillId="33" borderId="0" xfId="0" applyNumberFormat="1" applyFont="1" applyFill="1" applyBorder="1" applyAlignment="1" applyProtection="1">
      <alignment/>
      <protection hidden="1"/>
    </xf>
    <xf numFmtId="0" fontId="0" fillId="33" borderId="0" xfId="0" applyNumberFormat="1" applyFont="1" applyFill="1" applyBorder="1" applyAlignment="1" applyProtection="1">
      <alignment/>
      <protection hidden="1"/>
    </xf>
    <xf numFmtId="1" fontId="0" fillId="33" borderId="0" xfId="0" applyNumberFormat="1" applyFont="1" applyFill="1" applyBorder="1" applyAlignment="1" applyProtection="1">
      <alignment/>
      <protection hidden="1"/>
    </xf>
    <xf numFmtId="1" fontId="1" fillId="0" borderId="0" xfId="0" applyNumberFormat="1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204" fontId="0" fillId="0" borderId="0" xfId="0" applyNumberFormat="1" applyFont="1" applyAlignment="1" applyProtection="1">
      <alignment/>
      <protection hidden="1"/>
    </xf>
    <xf numFmtId="0" fontId="10" fillId="36" borderId="20" xfId="0" applyFont="1" applyFill="1" applyBorder="1" applyAlignment="1" applyProtection="1">
      <alignment horizontal="center"/>
      <protection hidden="1" locked="0"/>
    </xf>
    <xf numFmtId="0" fontId="0" fillId="36" borderId="38" xfId="0" applyFont="1" applyFill="1" applyBorder="1" applyAlignment="1" applyProtection="1">
      <alignment/>
      <protection hidden="1"/>
    </xf>
    <xf numFmtId="0" fontId="0" fillId="36" borderId="39" xfId="0" applyFont="1" applyFill="1" applyBorder="1" applyAlignment="1" applyProtection="1">
      <alignment/>
      <protection hidden="1"/>
    </xf>
    <xf numFmtId="0" fontId="4" fillId="0" borderId="14" xfId="0" applyFont="1" applyFill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/>
      <protection hidden="1" locked="0"/>
    </xf>
    <xf numFmtId="0" fontId="5" fillId="35" borderId="19" xfId="0" applyFont="1" applyFill="1" applyBorder="1" applyAlignment="1" applyProtection="1">
      <alignment horizontal="center"/>
      <protection hidden="1" locked="0"/>
    </xf>
    <xf numFmtId="0" fontId="5" fillId="35" borderId="25" xfId="0" applyFont="1" applyFill="1" applyBorder="1" applyAlignment="1" applyProtection="1">
      <alignment horizontal="center"/>
      <protection hidden="1" locked="0"/>
    </xf>
    <xf numFmtId="0" fontId="5" fillId="35" borderId="28" xfId="0" applyFont="1" applyFill="1" applyBorder="1" applyAlignment="1" applyProtection="1">
      <alignment horizontal="center"/>
      <protection hidden="1" locked="0"/>
    </xf>
    <xf numFmtId="0" fontId="19" fillId="0" borderId="0" xfId="0" applyFont="1" applyFill="1" applyBorder="1" applyAlignment="1" applyProtection="1">
      <alignment/>
      <protection hidden="1"/>
    </xf>
    <xf numFmtId="0" fontId="1" fillId="36" borderId="14" xfId="0" applyFont="1" applyFill="1" applyBorder="1" applyAlignment="1" applyProtection="1">
      <alignment/>
      <protection hidden="1"/>
    </xf>
    <xf numFmtId="0" fontId="4" fillId="2" borderId="14" xfId="0" applyFont="1" applyFill="1" applyBorder="1" applyAlignment="1" applyProtection="1">
      <alignment horizontal="center"/>
      <protection hidden="1" locked="0"/>
    </xf>
    <xf numFmtId="202" fontId="0" fillId="0" borderId="0" xfId="0" applyNumberFormat="1" applyFont="1" applyFill="1" applyAlignment="1" applyProtection="1">
      <alignment horizontal="left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 hidden="1" locked="0"/>
    </xf>
    <xf numFmtId="0" fontId="1" fillId="36" borderId="14" xfId="0" applyFont="1" applyFill="1" applyBorder="1" applyAlignment="1" applyProtection="1">
      <alignment/>
      <protection/>
    </xf>
    <xf numFmtId="0" fontId="1" fillId="35" borderId="41" xfId="0" applyFont="1" applyFill="1" applyBorder="1" applyAlignment="1" applyProtection="1">
      <alignment/>
      <protection/>
    </xf>
    <xf numFmtId="0" fontId="1" fillId="35" borderId="42" xfId="0" applyFont="1" applyFill="1" applyBorder="1" applyAlignment="1" applyProtection="1">
      <alignment horizontal="center"/>
      <protection/>
    </xf>
    <xf numFmtId="0" fontId="1" fillId="35" borderId="30" xfId="0" applyFont="1" applyFill="1" applyBorder="1" applyAlignment="1" applyProtection="1">
      <alignment/>
      <protection/>
    </xf>
    <xf numFmtId="2" fontId="1" fillId="35" borderId="31" xfId="0" applyNumberFormat="1" applyFont="1" applyFill="1" applyBorder="1" applyAlignment="1" applyProtection="1">
      <alignment horizontal="center"/>
      <protection/>
    </xf>
    <xf numFmtId="0" fontId="1" fillId="35" borderId="32" xfId="0" applyFont="1" applyFill="1" applyBorder="1" applyAlignment="1" applyProtection="1">
      <alignment/>
      <protection/>
    </xf>
    <xf numFmtId="202" fontId="1" fillId="35" borderId="34" xfId="0" applyNumberFormat="1" applyFont="1" applyFill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1" fillId="35" borderId="14" xfId="0" applyFont="1" applyFill="1" applyBorder="1" applyAlignment="1" applyProtection="1">
      <alignment horizontal="center"/>
      <protection hidden="1"/>
    </xf>
    <xf numFmtId="2" fontId="1" fillId="35" borderId="14" xfId="0" applyNumberFormat="1" applyFont="1" applyFill="1" applyBorder="1" applyAlignment="1" applyProtection="1">
      <alignment horizontal="center"/>
      <protection hidden="1"/>
    </xf>
    <xf numFmtId="202" fontId="1" fillId="35" borderId="14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1" fillId="0" borderId="43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4" fillId="2" borderId="34" xfId="0" applyFont="1" applyFill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vertical="center"/>
      <protection hidden="1"/>
    </xf>
    <xf numFmtId="0" fontId="5" fillId="0" borderId="46" xfId="0" applyFont="1" applyBorder="1" applyAlignment="1" applyProtection="1">
      <alignment vertical="center"/>
      <protection hidden="1"/>
    </xf>
    <xf numFmtId="0" fontId="4" fillId="35" borderId="35" xfId="0" applyFont="1" applyFill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left" vertical="center"/>
      <protection hidden="1"/>
    </xf>
    <xf numFmtId="0" fontId="0" fillId="0" borderId="44" xfId="0" applyFont="1" applyBorder="1" applyAlignment="1" applyProtection="1">
      <alignment vertical="center"/>
      <protection hidden="1"/>
    </xf>
    <xf numFmtId="0" fontId="0" fillId="0" borderId="26" xfId="0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center"/>
      <protection/>
    </xf>
    <xf numFmtId="0" fontId="1" fillId="0" borderId="43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2" borderId="31" xfId="0" applyFont="1" applyFill="1" applyBorder="1" applyAlignment="1" applyProtection="1">
      <alignment horizontal="center"/>
      <protection/>
    </xf>
    <xf numFmtId="204" fontId="4" fillId="35" borderId="34" xfId="0" applyNumberFormat="1" applyFont="1" applyFill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vertical="center"/>
      <protection/>
    </xf>
    <xf numFmtId="0" fontId="5" fillId="0" borderId="46" xfId="0" applyFont="1" applyBorder="1" applyAlignment="1" applyProtection="1">
      <alignment vertical="center"/>
      <protection/>
    </xf>
    <xf numFmtId="0" fontId="4" fillId="35" borderId="23" xfId="0" applyFont="1" applyFill="1" applyBorder="1" applyAlignment="1" applyProtection="1">
      <alignment/>
      <protection/>
    </xf>
    <xf numFmtId="0" fontId="4" fillId="35" borderId="17" xfId="0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/>
      <protection/>
    </xf>
    <xf numFmtId="0" fontId="4" fillId="35" borderId="23" xfId="0" applyFont="1" applyFill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2" borderId="30" xfId="0" applyFont="1" applyFill="1" applyBorder="1" applyAlignment="1" applyProtection="1">
      <alignment horizontal="center"/>
      <protection/>
    </xf>
    <xf numFmtId="204" fontId="4" fillId="35" borderId="32" xfId="0" applyNumberFormat="1" applyFont="1" applyFill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5" fillId="35" borderId="47" xfId="0" applyFont="1" applyFill="1" applyBorder="1" applyAlignment="1" applyProtection="1">
      <alignment horizontal="center"/>
      <protection hidden="1"/>
    </xf>
    <xf numFmtId="204" fontId="4" fillId="35" borderId="33" xfId="0" applyNumberFormat="1" applyFont="1" applyFill="1" applyBorder="1" applyAlignment="1" applyProtection="1">
      <alignment horizontal="center"/>
      <protection hidden="1"/>
    </xf>
    <xf numFmtId="204" fontId="4" fillId="35" borderId="34" xfId="0" applyNumberFormat="1" applyFont="1" applyFill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/>
      <protection hidden="1"/>
    </xf>
    <xf numFmtId="204" fontId="4" fillId="35" borderId="32" xfId="0" applyNumberFormat="1" applyFont="1" applyFill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left"/>
      <protection hidden="1"/>
    </xf>
    <xf numFmtId="0" fontId="5" fillId="35" borderId="45" xfId="0" applyFont="1" applyFill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left"/>
      <protection hidden="1"/>
    </xf>
    <xf numFmtId="0" fontId="0" fillId="0" borderId="46" xfId="0" applyFont="1" applyBorder="1" applyAlignment="1" applyProtection="1">
      <alignment/>
      <protection hidden="1"/>
    </xf>
    <xf numFmtId="0" fontId="1" fillId="35" borderId="41" xfId="0" applyFont="1" applyFill="1" applyBorder="1" applyAlignment="1" applyProtection="1">
      <alignment/>
      <protection hidden="1"/>
    </xf>
    <xf numFmtId="0" fontId="1" fillId="35" borderId="30" xfId="0" applyFont="1" applyFill="1" applyBorder="1" applyAlignment="1" applyProtection="1">
      <alignment/>
      <protection hidden="1"/>
    </xf>
    <xf numFmtId="0" fontId="1" fillId="35" borderId="32" xfId="0" applyFont="1" applyFill="1" applyBorder="1" applyAlignment="1" applyProtection="1">
      <alignment/>
      <protection hidden="1"/>
    </xf>
    <xf numFmtId="0" fontId="1" fillId="36" borderId="41" xfId="0" applyFont="1" applyFill="1" applyBorder="1" applyAlignment="1" applyProtection="1">
      <alignment/>
      <protection hidden="1"/>
    </xf>
    <xf numFmtId="0" fontId="10" fillId="36" borderId="42" xfId="0" applyFont="1" applyFill="1" applyBorder="1" applyAlignment="1" applyProtection="1">
      <alignment horizontal="center"/>
      <protection hidden="1" locked="0"/>
    </xf>
    <xf numFmtId="0" fontId="1" fillId="36" borderId="30" xfId="0" applyFont="1" applyFill="1" applyBorder="1" applyAlignment="1" applyProtection="1">
      <alignment/>
      <protection hidden="1"/>
    </xf>
    <xf numFmtId="0" fontId="10" fillId="36" borderId="31" xfId="0" applyFont="1" applyFill="1" applyBorder="1" applyAlignment="1" applyProtection="1">
      <alignment horizontal="center"/>
      <protection hidden="1" locked="0"/>
    </xf>
    <xf numFmtId="0" fontId="1" fillId="36" borderId="32" xfId="0" applyFont="1" applyFill="1" applyBorder="1" applyAlignment="1" applyProtection="1">
      <alignment/>
      <protection hidden="1"/>
    </xf>
    <xf numFmtId="0" fontId="10" fillId="36" borderId="34" xfId="0" applyFont="1" applyFill="1" applyBorder="1" applyAlignment="1" applyProtection="1">
      <alignment horizontal="center"/>
      <protection hidden="1" locked="0"/>
    </xf>
    <xf numFmtId="0" fontId="10" fillId="36" borderId="42" xfId="0" applyFont="1" applyFill="1" applyBorder="1" applyAlignment="1" applyProtection="1">
      <alignment horizontal="center"/>
      <protection hidden="1" locked="0"/>
    </xf>
    <xf numFmtId="0" fontId="10" fillId="36" borderId="31" xfId="0" applyFont="1" applyFill="1" applyBorder="1" applyAlignment="1" applyProtection="1">
      <alignment horizontal="center"/>
      <protection hidden="1" locked="0"/>
    </xf>
    <xf numFmtId="1" fontId="66" fillId="35" borderId="42" xfId="0" applyNumberFormat="1" applyFont="1" applyFill="1" applyBorder="1" applyAlignment="1" applyProtection="1">
      <alignment horizontal="center"/>
      <protection hidden="1"/>
    </xf>
    <xf numFmtId="2" fontId="66" fillId="35" borderId="31" xfId="0" applyNumberFormat="1" applyFont="1" applyFill="1" applyBorder="1" applyAlignment="1" applyProtection="1">
      <alignment horizontal="center"/>
      <protection hidden="1"/>
    </xf>
    <xf numFmtId="0" fontId="66" fillId="35" borderId="34" xfId="0" applyFont="1" applyFill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/>
      <protection hidden="1" locked="0"/>
    </xf>
    <xf numFmtId="0" fontId="5" fillId="35" borderId="47" xfId="0" applyFont="1" applyFill="1" applyBorder="1" applyAlignment="1" applyProtection="1">
      <alignment horizontal="center"/>
      <protection hidden="1" locked="0"/>
    </xf>
    <xf numFmtId="0" fontId="5" fillId="35" borderId="29" xfId="0" applyFont="1" applyFill="1" applyBorder="1" applyAlignment="1" applyProtection="1">
      <alignment horizontal="center"/>
      <protection hidden="1" locked="0"/>
    </xf>
    <xf numFmtId="0" fontId="4" fillId="2" borderId="31" xfId="0" applyFont="1" applyFill="1" applyBorder="1" applyAlignment="1" applyProtection="1">
      <alignment horizontal="center"/>
      <protection hidden="1" locked="0"/>
    </xf>
    <xf numFmtId="0" fontId="4" fillId="0" borderId="31" xfId="0" applyFont="1" applyFill="1" applyBorder="1" applyAlignment="1" applyProtection="1">
      <alignment horizontal="center"/>
      <protection hidden="1" locked="0"/>
    </xf>
    <xf numFmtId="0" fontId="4" fillId="0" borderId="44" xfId="0" applyFont="1" applyBorder="1" applyAlignment="1" applyProtection="1">
      <alignment/>
      <protection hidden="1" locked="0"/>
    </xf>
    <xf numFmtId="0" fontId="4" fillId="0" borderId="26" xfId="0" applyFont="1" applyBorder="1" applyAlignment="1" applyProtection="1">
      <alignment/>
      <protection hidden="1" locked="0"/>
    </xf>
    <xf numFmtId="0" fontId="5" fillId="35" borderId="24" xfId="0" applyFont="1" applyFill="1" applyBorder="1" applyAlignment="1" applyProtection="1">
      <alignment horizontal="center"/>
      <protection hidden="1" locked="0"/>
    </xf>
    <xf numFmtId="0" fontId="5" fillId="35" borderId="27" xfId="0" applyFont="1" applyFill="1" applyBorder="1" applyAlignment="1" applyProtection="1">
      <alignment horizontal="center"/>
      <protection hidden="1" locked="0"/>
    </xf>
    <xf numFmtId="0" fontId="4" fillId="0" borderId="30" xfId="0" applyFont="1" applyFill="1" applyBorder="1" applyAlignment="1" applyProtection="1">
      <alignment horizontal="center"/>
      <protection hidden="1" locked="0"/>
    </xf>
    <xf numFmtId="0" fontId="4" fillId="2" borderId="30" xfId="0" applyFont="1" applyFill="1" applyBorder="1" applyAlignment="1" applyProtection="1">
      <alignment horizontal="center"/>
      <protection hidden="1" locked="0"/>
    </xf>
    <xf numFmtId="0" fontId="5" fillId="35" borderId="26" xfId="0" applyFont="1" applyFill="1" applyBorder="1" applyAlignment="1" applyProtection="1">
      <alignment horizontal="center"/>
      <protection hidden="1" locked="0"/>
    </xf>
    <xf numFmtId="0" fontId="5" fillId="35" borderId="16" xfId="0" applyFont="1" applyFill="1" applyBorder="1" applyAlignment="1" applyProtection="1">
      <alignment horizontal="center"/>
      <protection hidden="1" locked="0"/>
    </xf>
    <xf numFmtId="0" fontId="4" fillId="0" borderId="44" xfId="0" applyFont="1" applyBorder="1" applyAlignment="1" applyProtection="1">
      <alignment horizontal="center"/>
      <protection hidden="1" locked="0"/>
    </xf>
    <xf numFmtId="0" fontId="4" fillId="0" borderId="44" xfId="0" applyFont="1" applyBorder="1" applyAlignment="1" applyProtection="1">
      <alignment horizontal="left"/>
      <protection hidden="1" locked="0"/>
    </xf>
    <xf numFmtId="0" fontId="5" fillId="35" borderId="18" xfId="0" applyFont="1" applyFill="1" applyBorder="1" applyAlignment="1" applyProtection="1">
      <alignment horizontal="center"/>
      <protection hidden="1" locked="0"/>
    </xf>
    <xf numFmtId="0" fontId="5" fillId="35" borderId="20" xfId="0" applyFont="1" applyFill="1" applyBorder="1" applyAlignment="1" applyProtection="1">
      <alignment horizontal="center"/>
      <protection hidden="1"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2" borderId="30" xfId="0" applyFont="1" applyFill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/>
      <protection hidden="1" locked="0"/>
    </xf>
    <xf numFmtId="0" fontId="5" fillId="0" borderId="46" xfId="0" applyFont="1" applyBorder="1" applyAlignment="1" applyProtection="1">
      <alignment/>
      <protection hidden="1" locked="0"/>
    </xf>
    <xf numFmtId="0" fontId="4" fillId="35" borderId="23" xfId="0" applyFont="1" applyFill="1" applyBorder="1" applyAlignment="1" applyProtection="1">
      <alignment/>
      <protection hidden="1" locked="0"/>
    </xf>
    <xf numFmtId="0" fontId="4" fillId="0" borderId="17" xfId="0" applyFont="1" applyBorder="1" applyAlignment="1" applyProtection="1">
      <alignment/>
      <protection hidden="1" locked="0"/>
    </xf>
    <xf numFmtId="0" fontId="4" fillId="35" borderId="23" xfId="0" applyFont="1" applyFill="1" applyBorder="1" applyAlignment="1" applyProtection="1">
      <alignment horizontal="center"/>
      <protection hidden="1" locked="0"/>
    </xf>
    <xf numFmtId="0" fontId="4" fillId="0" borderId="23" xfId="0" applyFont="1" applyBorder="1" applyAlignment="1" applyProtection="1">
      <alignment horizontal="center"/>
      <protection hidden="1" locked="0"/>
    </xf>
    <xf numFmtId="0" fontId="4" fillId="0" borderId="35" xfId="0" applyFont="1" applyFill="1" applyBorder="1" applyAlignment="1" applyProtection="1">
      <alignment/>
      <protection hidden="1"/>
    </xf>
    <xf numFmtId="0" fontId="4" fillId="0" borderId="35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35" borderId="42" xfId="0" applyFont="1" applyFill="1" applyBorder="1" applyAlignment="1" applyProtection="1">
      <alignment horizontal="center"/>
      <protection hidden="1"/>
    </xf>
    <xf numFmtId="2" fontId="1" fillId="35" borderId="31" xfId="0" applyNumberFormat="1" applyFont="1" applyFill="1" applyBorder="1" applyAlignment="1" applyProtection="1">
      <alignment horizontal="center"/>
      <protection hidden="1"/>
    </xf>
    <xf numFmtId="202" fontId="1" fillId="35" borderId="34" xfId="0" applyNumberFormat="1" applyFont="1" applyFill="1" applyBorder="1" applyAlignment="1" applyProtection="1">
      <alignment horizontal="center"/>
      <protection hidden="1"/>
    </xf>
    <xf numFmtId="0" fontId="66" fillId="35" borderId="14" xfId="0" applyFont="1" applyFill="1" applyBorder="1" applyAlignment="1" applyProtection="1">
      <alignment horizontal="center"/>
      <protection hidden="1" locked="0"/>
    </xf>
    <xf numFmtId="0" fontId="14" fillId="36" borderId="48" xfId="0" applyFont="1" applyFill="1" applyBorder="1" applyAlignment="1" applyProtection="1">
      <alignment horizontal="center"/>
      <protection hidden="1" locked="0"/>
    </xf>
    <xf numFmtId="0" fontId="24" fillId="0" borderId="49" xfId="0" applyFont="1" applyBorder="1" applyAlignment="1" applyProtection="1">
      <alignment horizontal="center"/>
      <protection hidden="1"/>
    </xf>
    <xf numFmtId="0" fontId="24" fillId="0" borderId="50" xfId="0" applyFont="1" applyBorder="1" applyAlignment="1" applyProtection="1">
      <alignment horizontal="center"/>
      <protection hidden="1"/>
    </xf>
    <xf numFmtId="0" fontId="24" fillId="0" borderId="51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5" fillId="0" borderId="52" xfId="0" applyFont="1" applyBorder="1" applyAlignment="1" applyProtection="1">
      <alignment horizontal="center"/>
      <protection hidden="1"/>
    </xf>
    <xf numFmtId="0" fontId="5" fillId="0" borderId="53" xfId="0" applyFont="1" applyBorder="1" applyAlignment="1" applyProtection="1">
      <alignment horizontal="center"/>
      <protection hidden="1"/>
    </xf>
    <xf numFmtId="0" fontId="5" fillId="0" borderId="5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" fillId="0" borderId="49" xfId="0" applyFont="1" applyBorder="1" applyAlignment="1" applyProtection="1">
      <alignment horizontal="center"/>
      <protection hidden="1" locked="0"/>
    </xf>
    <xf numFmtId="0" fontId="1" fillId="0" borderId="50" xfId="0" applyFont="1" applyBorder="1" applyAlignment="1" applyProtection="1">
      <alignment horizontal="center"/>
      <protection hidden="1" locked="0"/>
    </xf>
    <xf numFmtId="0" fontId="1" fillId="0" borderId="51" xfId="0" applyFont="1" applyBorder="1" applyAlignment="1" applyProtection="1">
      <alignment horizontal="center"/>
      <protection hidden="1" locked="0"/>
    </xf>
    <xf numFmtId="0" fontId="5" fillId="0" borderId="49" xfId="0" applyFont="1" applyBorder="1" applyAlignment="1" applyProtection="1">
      <alignment horizontal="center"/>
      <protection hidden="1" locked="0"/>
    </xf>
    <xf numFmtId="0" fontId="5" fillId="0" borderId="50" xfId="0" applyFont="1" applyBorder="1" applyAlignment="1" applyProtection="1">
      <alignment horizontal="center"/>
      <protection hidden="1" locked="0"/>
    </xf>
    <xf numFmtId="0" fontId="5" fillId="0" borderId="51" xfId="0" applyFont="1" applyBorder="1" applyAlignment="1" applyProtection="1">
      <alignment horizontal="center"/>
      <protection hidden="1" locked="0"/>
    </xf>
    <xf numFmtId="0" fontId="1" fillId="0" borderId="49" xfId="0" applyFont="1" applyBorder="1" applyAlignment="1" applyProtection="1">
      <alignment horizontal="center"/>
      <protection hidden="1"/>
    </xf>
    <xf numFmtId="0" fontId="1" fillId="0" borderId="50" xfId="0" applyFont="1" applyBorder="1" applyAlignment="1" applyProtection="1">
      <alignment horizontal="center"/>
      <protection hidden="1"/>
    </xf>
    <xf numFmtId="0" fontId="1" fillId="0" borderId="51" xfId="0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1" fillId="0" borderId="50" xfId="0" applyFont="1" applyBorder="1" applyAlignment="1" applyProtection="1">
      <alignment horizontal="center"/>
      <protection hidden="1"/>
    </xf>
    <xf numFmtId="0" fontId="1" fillId="0" borderId="51" xfId="0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0" fontId="1" fillId="0" borderId="51" xfId="0" applyFont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 vertical="center"/>
      <protection/>
    </xf>
    <xf numFmtId="0" fontId="5" fillId="35" borderId="27" xfId="0" applyFont="1" applyFill="1" applyBorder="1" applyAlignment="1" applyProtection="1">
      <alignment horizontal="center" vertical="center"/>
      <protection/>
    </xf>
    <xf numFmtId="0" fontId="5" fillId="35" borderId="47" xfId="0" applyFont="1" applyFill="1" applyBorder="1" applyAlignment="1" applyProtection="1">
      <alignment horizontal="center" vertical="center"/>
      <protection/>
    </xf>
    <xf numFmtId="0" fontId="5" fillId="35" borderId="29" xfId="0" applyFont="1" applyFill="1" applyBorder="1" applyAlignment="1" applyProtection="1">
      <alignment horizontal="center" vertical="center"/>
      <protection/>
    </xf>
    <xf numFmtId="0" fontId="4" fillId="35" borderId="29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>
      <alignment horizontal="center" vertical="center"/>
    </xf>
    <xf numFmtId="0" fontId="5" fillId="35" borderId="47" xfId="0" applyFont="1" applyFill="1" applyBorder="1" applyAlignment="1" applyProtection="1">
      <alignment horizontal="center" vertical="center"/>
      <protection hidden="1"/>
    </xf>
    <xf numFmtId="0" fontId="5" fillId="35" borderId="24" xfId="0" applyFont="1" applyFill="1" applyBorder="1" applyAlignment="1" applyProtection="1">
      <alignment horizontal="center" vertical="center"/>
      <protection hidden="1"/>
    </xf>
    <xf numFmtId="0" fontId="5" fillId="35" borderId="29" xfId="0" applyFont="1" applyFill="1" applyBorder="1" applyAlignment="1" applyProtection="1">
      <alignment horizontal="center" vertical="center"/>
      <protection hidden="1"/>
    </xf>
    <xf numFmtId="0" fontId="5" fillId="35" borderId="27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180975</xdr:rowOff>
    </xdr:from>
    <xdr:to>
      <xdr:col>1</xdr:col>
      <xdr:colOff>2847975</xdr:colOff>
      <xdr:row>3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80975"/>
          <a:ext cx="2409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0</xdr:rowOff>
    </xdr:from>
    <xdr:to>
      <xdr:col>2</xdr:col>
      <xdr:colOff>9525</xdr:colOff>
      <xdr:row>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23850"/>
          <a:ext cx="2505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123825</xdr:rowOff>
    </xdr:from>
    <xdr:to>
      <xdr:col>1</xdr:col>
      <xdr:colOff>552450</xdr:colOff>
      <xdr:row>4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2266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152400</xdr:rowOff>
    </xdr:from>
    <xdr:to>
      <xdr:col>1</xdr:col>
      <xdr:colOff>590550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2266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</xdr:row>
      <xdr:rowOff>38100</xdr:rowOff>
    </xdr:from>
    <xdr:to>
      <xdr:col>1</xdr:col>
      <xdr:colOff>676275</xdr:colOff>
      <xdr:row>8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"/>
          <a:ext cx="2266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gel_tabel_kvt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pakt&amp;Ventiil&amp;T6&amp;Moodsad"/>
      <sheetName val="Modul1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>
    <tabColor indexed="11"/>
  </sheetPr>
  <dimension ref="A1:IA78"/>
  <sheetViews>
    <sheetView showGridLines="0" tabSelected="1" zoomScaleSheetLayoutView="70" zoomScalePageLayoutView="0" workbookViewId="0" topLeftCell="A1">
      <pane xSplit="3" topLeftCell="D1" activePane="topRight" state="frozen"/>
      <selection pane="topLeft" activeCell="AI46" sqref="AI46"/>
      <selection pane="topRight" activeCell="C11" activeCellId="2" sqref="P43 C18 C11:C14"/>
    </sheetView>
  </sheetViews>
  <sheetFormatPr defaultColWidth="11.57421875" defaultRowHeight="12.75"/>
  <cols>
    <col min="1" max="1" width="17.00390625" style="2" hidden="1" customWidth="1"/>
    <col min="2" max="2" width="43.28125" style="2" customWidth="1"/>
    <col min="3" max="3" width="8.421875" style="2" customWidth="1"/>
    <col min="4" max="4" width="10.8515625" style="157" hidden="1" customWidth="1"/>
    <col min="5" max="5" width="12.7109375" style="2" hidden="1" customWidth="1"/>
    <col min="6" max="6" width="12.28125" style="2" hidden="1" customWidth="1"/>
    <col min="7" max="7" width="15.140625" style="24" hidden="1" customWidth="1"/>
    <col min="8" max="8" width="13.28125" style="3" hidden="1" customWidth="1"/>
    <col min="9" max="9" width="15.28125" style="2" hidden="1" customWidth="1"/>
    <col min="10" max="10" width="10.140625" style="2" hidden="1" customWidth="1"/>
    <col min="11" max="11" width="1.7109375" style="36" hidden="1" customWidth="1"/>
    <col min="12" max="12" width="2.28125" style="2" customWidth="1"/>
    <col min="13" max="13" width="9.00390625" style="4" customWidth="1"/>
    <col min="14" max="17" width="5.7109375" style="5" customWidth="1"/>
    <col min="18" max="33" width="5.7109375" style="4" customWidth="1"/>
    <col min="34" max="34" width="7.8515625" style="6" customWidth="1"/>
    <col min="35" max="37" width="5.7109375" style="6" customWidth="1"/>
    <col min="38" max="40" width="5.7109375" style="2" customWidth="1"/>
    <col min="41" max="50" width="4.00390625" style="2" customWidth="1"/>
    <col min="51" max="51" width="8.00390625" style="2" customWidth="1"/>
    <col min="52" max="55" width="4.00390625" style="2" customWidth="1"/>
    <col min="56" max="16384" width="11.57421875" style="2" customWidth="1"/>
  </cols>
  <sheetData>
    <row r="1" spans="3:13" ht="16.5" customHeight="1">
      <c r="C1" s="1"/>
      <c r="M1" s="182"/>
    </row>
    <row r="2" spans="5:13" ht="23.25">
      <c r="E2" s="7"/>
      <c r="F2" s="7"/>
      <c r="G2" s="25"/>
      <c r="H2" s="8"/>
      <c r="M2" s="181" t="s">
        <v>106</v>
      </c>
    </row>
    <row r="3" spans="3:8" ht="8.25" customHeight="1">
      <c r="C3" s="172"/>
      <c r="E3" s="7"/>
      <c r="F3" s="7"/>
      <c r="G3" s="25"/>
      <c r="H3" s="8"/>
    </row>
    <row r="4" spans="3:8" ht="12.75" hidden="1">
      <c r="C4" s="172"/>
      <c r="E4" s="7"/>
      <c r="F4" s="7"/>
      <c r="G4" s="25"/>
      <c r="H4" s="8"/>
    </row>
    <row r="5" spans="5:8" ht="12.75" hidden="1">
      <c r="E5" s="7"/>
      <c r="F5" s="7"/>
      <c r="G5" s="25"/>
      <c r="H5" s="8"/>
    </row>
    <row r="6" spans="3:6" ht="12.75" hidden="1">
      <c r="C6" s="2">
        <v>75</v>
      </c>
      <c r="D6" s="160" t="s">
        <v>47</v>
      </c>
      <c r="E6" s="7" t="s">
        <v>72</v>
      </c>
      <c r="F6" s="7" t="s">
        <v>71</v>
      </c>
    </row>
    <row r="7" spans="3:6" ht="12.75" hidden="1">
      <c r="C7" s="2">
        <v>65</v>
      </c>
      <c r="D7" s="160" t="s">
        <v>47</v>
      </c>
      <c r="E7" s="7">
        <f>(C6+C7)/2-C8</f>
        <v>50</v>
      </c>
      <c r="F7" s="8">
        <f>(C6-C7)/LN((C6-C8)/(C7-C8))</f>
        <v>49.83288654563971</v>
      </c>
    </row>
    <row r="8" spans="3:8" ht="12.75" hidden="1">
      <c r="C8" s="2">
        <v>20</v>
      </c>
      <c r="D8" s="160" t="s">
        <v>47</v>
      </c>
      <c r="E8" s="7"/>
      <c r="F8" s="7"/>
      <c r="G8" s="25"/>
      <c r="H8" s="8"/>
    </row>
    <row r="9" spans="2:8" ht="12.75" hidden="1">
      <c r="B9" s="172"/>
      <c r="D9" s="160"/>
      <c r="E9" s="7"/>
      <c r="F9" s="7"/>
      <c r="G9" s="25"/>
      <c r="H9" s="8"/>
    </row>
    <row r="10" spans="3:55" ht="12" customHeight="1">
      <c r="C10" s="9"/>
      <c r="E10" s="7"/>
      <c r="F10" s="7"/>
      <c r="G10" s="25"/>
      <c r="H10" s="8"/>
      <c r="M10" s="158"/>
      <c r="R10" s="180"/>
      <c r="AG10" s="159"/>
      <c r="AH10" s="95"/>
      <c r="AI10" s="5"/>
      <c r="AJ10" s="5"/>
      <c r="AK10" s="5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2:55" ht="16.5" customHeight="1">
      <c r="B11" s="199" t="str">
        <f>D11</f>
        <v>Temperatuur sissevoolul [°C]</v>
      </c>
      <c r="C11" s="244">
        <v>75</v>
      </c>
      <c r="D11" s="157" t="s">
        <v>97</v>
      </c>
      <c r="E11" s="7"/>
      <c r="F11" s="25" t="s">
        <v>0</v>
      </c>
      <c r="G11" s="7" t="s">
        <v>71</v>
      </c>
      <c r="H11" s="8" t="s">
        <v>70</v>
      </c>
      <c r="I11" s="8" t="s">
        <v>73</v>
      </c>
      <c r="M11" s="158"/>
      <c r="AH11" s="95"/>
      <c r="AI11" s="5"/>
      <c r="AJ11" s="5"/>
      <c r="AK11" s="5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2:55" ht="16.5" customHeight="1">
      <c r="B12" s="199" t="str">
        <f>D12</f>
        <v>Temperatuur väljavoolul [°C]</v>
      </c>
      <c r="C12" s="244">
        <v>65</v>
      </c>
      <c r="D12" s="157" t="s">
        <v>98</v>
      </c>
      <c r="E12" s="7"/>
      <c r="F12" s="25">
        <f>(C11+C12)/2-C13</f>
        <v>50</v>
      </c>
      <c r="G12" s="8">
        <f>(C11-C12)/LN((C11-C13)/(C12-C13))</f>
        <v>49.83288654563971</v>
      </c>
      <c r="H12" s="8">
        <f>(C12-C13)/(C11-C13)</f>
        <v>0.8181818181818182</v>
      </c>
      <c r="I12" s="29">
        <f>IF(H12&lt;0.7,G12/F7,F12/E7)</f>
        <v>1</v>
      </c>
      <c r="L12" s="3"/>
      <c r="M12" s="171"/>
      <c r="AH12" s="96"/>
      <c r="AI12" s="5"/>
      <c r="AJ12" s="5"/>
      <c r="AK12" s="5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2:55" s="10" customFormat="1" ht="16.5" customHeight="1" thickBot="1">
      <c r="B13" s="199" t="str">
        <f>D13</f>
        <v>Ruumi temperatuur [°C]</v>
      </c>
      <c r="C13" s="244">
        <v>20</v>
      </c>
      <c r="D13" s="161" t="s">
        <v>99</v>
      </c>
      <c r="F13" s="26"/>
      <c r="H13" s="12"/>
      <c r="K13" s="37"/>
      <c r="L13" s="12"/>
      <c r="M13" s="4"/>
      <c r="N13" s="5"/>
      <c r="O13" s="5"/>
      <c r="P13" s="5"/>
      <c r="Q13" s="5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5"/>
      <c r="AJ13" s="5"/>
      <c r="AK13" s="5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</row>
    <row r="14" spans="2:51" s="10" customFormat="1" ht="16.5" customHeight="1">
      <c r="B14" s="199" t="s">
        <v>104</v>
      </c>
      <c r="C14" s="245">
        <v>0</v>
      </c>
      <c r="D14" s="162" t="s">
        <v>103</v>
      </c>
      <c r="E14" s="70"/>
      <c r="F14" s="70"/>
      <c r="G14" s="70"/>
      <c r="I14" s="69"/>
      <c r="K14" s="37"/>
      <c r="L14" s="179"/>
      <c r="M14" s="402" t="s">
        <v>107</v>
      </c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4"/>
      <c r="AH14" s="402" t="s">
        <v>108</v>
      </c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403"/>
      <c r="AY14" s="404"/>
    </row>
    <row r="15" spans="2:51" s="10" customFormat="1" ht="12.75">
      <c r="B15" s="405" t="str">
        <f>IF(C14=1,"Tulemusväärtused kcal/h vastavalt DIN EN 442",IF(C14=2,"Tulemusväärtused BTU/h vastavalt DIN EN 442","Soojendusvõimsus EN 442"))</f>
        <v>Soojendusvõimsus EN 442</v>
      </c>
      <c r="C15" s="405"/>
      <c r="D15" s="405"/>
      <c r="E15" s="405"/>
      <c r="F15" s="405"/>
      <c r="G15" s="37"/>
      <c r="H15" s="37"/>
      <c r="I15" s="64" t="s">
        <v>76</v>
      </c>
      <c r="J15" s="68">
        <f>IF(C14=1,0.859845,IF(C14=2,3.412141,1))</f>
        <v>1</v>
      </c>
      <c r="K15" s="175"/>
      <c r="M15" s="233" t="str">
        <f>B15</f>
        <v>Soojendusvõimsus EN 442</v>
      </c>
      <c r="N15" s="72"/>
      <c r="O15" s="72"/>
      <c r="P15" s="72"/>
      <c r="Q15" s="72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183"/>
      <c r="AH15" s="235" t="str">
        <f>B15</f>
        <v>Soojendusvõimsus EN 442</v>
      </c>
      <c r="AI15" s="236"/>
      <c r="AJ15" s="236"/>
      <c r="AK15" s="236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8"/>
    </row>
    <row r="16" spans="4:51" s="10" customFormat="1" ht="13.5" thickBot="1">
      <c r="D16" s="161"/>
      <c r="G16" s="26"/>
      <c r="H16" s="12"/>
      <c r="K16" s="37"/>
      <c r="M16" s="234" t="str">
        <f>D11&amp;" "&amp;C11&amp;" "&amp;F14&amp;"               "&amp;D12&amp;" "&amp;C12&amp;" "&amp;F14&amp;"               "&amp;D13&amp;" "&amp;C13&amp;" "&amp;F14</f>
        <v>Temperatuur sissevoolul [°C] 75                Temperatuur väljavoolul [°C] 65                Ruumi temperatuur [°C] 20 </v>
      </c>
      <c r="N16" s="192"/>
      <c r="O16" s="191"/>
      <c r="P16" s="192"/>
      <c r="Q16" s="192"/>
      <c r="R16" s="195"/>
      <c r="S16" s="195"/>
      <c r="T16" s="195"/>
      <c r="U16" s="195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4"/>
      <c r="AH16" s="239" t="str">
        <f>D11&amp;" "&amp;C11&amp;" "&amp;F14&amp;"   "&amp;D12&amp;" "&amp;C12&amp;" "&amp;F14&amp;"   "&amp;D13&amp;" "&amp;C13&amp;" "&amp;F14</f>
        <v>Temperatuur sissevoolul [°C] 75    Temperatuur väljavoolul [°C] 65    Ruumi temperatuur [°C] 20 </v>
      </c>
      <c r="AI16" s="240"/>
      <c r="AJ16" s="241"/>
      <c r="AK16" s="241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3"/>
    </row>
    <row r="17" spans="1:51" s="14" customFormat="1" ht="13.5" thickBot="1">
      <c r="A17" s="173" t="s">
        <v>100</v>
      </c>
      <c r="B17" s="173"/>
      <c r="C17" s="173"/>
      <c r="D17" s="164" t="s">
        <v>2</v>
      </c>
      <c r="E17" s="16" t="s">
        <v>4</v>
      </c>
      <c r="F17" s="15" t="s">
        <v>3</v>
      </c>
      <c r="G17" s="27" t="s">
        <v>5</v>
      </c>
      <c r="K17" s="176"/>
      <c r="M17" s="201" t="s">
        <v>101</v>
      </c>
      <c r="N17" s="406">
        <v>300</v>
      </c>
      <c r="O17" s="407"/>
      <c r="P17" s="407"/>
      <c r="Q17" s="408"/>
      <c r="R17" s="406">
        <v>400</v>
      </c>
      <c r="S17" s="407"/>
      <c r="T17" s="407"/>
      <c r="U17" s="408"/>
      <c r="V17" s="406">
        <v>500</v>
      </c>
      <c r="W17" s="407"/>
      <c r="X17" s="407"/>
      <c r="Y17" s="408"/>
      <c r="Z17" s="406">
        <v>600</v>
      </c>
      <c r="AA17" s="407"/>
      <c r="AB17" s="407"/>
      <c r="AC17" s="408"/>
      <c r="AD17" s="406">
        <v>900</v>
      </c>
      <c r="AE17" s="407"/>
      <c r="AF17" s="407"/>
      <c r="AG17" s="408"/>
      <c r="AH17" s="202" t="s">
        <v>101</v>
      </c>
      <c r="AI17" s="409">
        <v>554</v>
      </c>
      <c r="AJ17" s="410"/>
      <c r="AK17" s="411"/>
      <c r="AL17" s="409">
        <v>954</v>
      </c>
      <c r="AM17" s="410"/>
      <c r="AN17" s="411"/>
      <c r="AO17" s="184"/>
      <c r="AP17" s="184"/>
      <c r="AQ17" s="185"/>
      <c r="AR17" s="186"/>
      <c r="AS17" s="185"/>
      <c r="AT17" s="185"/>
      <c r="AU17" s="185"/>
      <c r="AV17" s="185"/>
      <c r="AW17" s="185"/>
      <c r="AX17" s="185"/>
      <c r="AY17" s="185"/>
    </row>
    <row r="18" spans="2:51" s="14" customFormat="1" ht="12.75">
      <c r="B18" s="196" t="s">
        <v>0</v>
      </c>
      <c r="C18" s="400">
        <f>F12</f>
        <v>50</v>
      </c>
      <c r="D18" s="165"/>
      <c r="E18" s="16"/>
      <c r="F18" s="15" t="s">
        <v>6</v>
      </c>
      <c r="G18" s="27"/>
      <c r="K18" s="176"/>
      <c r="M18" s="203" t="s">
        <v>100</v>
      </c>
      <c r="N18" s="204" t="s">
        <v>7</v>
      </c>
      <c r="O18" s="205" t="s">
        <v>8</v>
      </c>
      <c r="P18" s="205" t="s">
        <v>9</v>
      </c>
      <c r="Q18" s="206" t="s">
        <v>10</v>
      </c>
      <c r="R18" s="204" t="s">
        <v>7</v>
      </c>
      <c r="S18" s="207" t="s">
        <v>8</v>
      </c>
      <c r="T18" s="207" t="s">
        <v>9</v>
      </c>
      <c r="U18" s="206" t="s">
        <v>10</v>
      </c>
      <c r="V18" s="204" t="s">
        <v>7</v>
      </c>
      <c r="W18" s="207" t="s">
        <v>8</v>
      </c>
      <c r="X18" s="207" t="s">
        <v>9</v>
      </c>
      <c r="Y18" s="206" t="s">
        <v>10</v>
      </c>
      <c r="Z18" s="204" t="s">
        <v>7</v>
      </c>
      <c r="AA18" s="207" t="s">
        <v>8</v>
      </c>
      <c r="AB18" s="207" t="s">
        <v>9</v>
      </c>
      <c r="AC18" s="206" t="s">
        <v>10</v>
      </c>
      <c r="AD18" s="204" t="s">
        <v>7</v>
      </c>
      <c r="AE18" s="207" t="s">
        <v>8</v>
      </c>
      <c r="AF18" s="207" t="s">
        <v>9</v>
      </c>
      <c r="AG18" s="208" t="s">
        <v>10</v>
      </c>
      <c r="AH18" s="209" t="s">
        <v>100</v>
      </c>
      <c r="AI18" s="204" t="s">
        <v>8</v>
      </c>
      <c r="AJ18" s="205" t="s">
        <v>9</v>
      </c>
      <c r="AK18" s="206" t="s">
        <v>10</v>
      </c>
      <c r="AL18" s="210" t="s">
        <v>8</v>
      </c>
      <c r="AM18" s="211" t="s">
        <v>9</v>
      </c>
      <c r="AN18" s="212" t="s">
        <v>10</v>
      </c>
      <c r="AO18" s="187"/>
      <c r="AP18" s="187"/>
      <c r="AQ18" s="189"/>
      <c r="AR18" s="189"/>
      <c r="AS18" s="189"/>
      <c r="AT18" s="189"/>
      <c r="AU18" s="189"/>
      <c r="AV18" s="189"/>
      <c r="AW18" s="189"/>
      <c r="AX18" s="189"/>
      <c r="AY18" s="189"/>
    </row>
    <row r="19" spans="1:51" s="10" customFormat="1" ht="12.75">
      <c r="A19" s="10" t="s">
        <v>11</v>
      </c>
      <c r="B19" s="197" t="s">
        <v>71</v>
      </c>
      <c r="C19" s="198">
        <f>G12</f>
        <v>49.83288654563971</v>
      </c>
      <c r="D19" s="166">
        <v>1.2741</v>
      </c>
      <c r="E19" s="18">
        <v>348</v>
      </c>
      <c r="F19" s="11">
        <f>POWER(I12,D19)</f>
        <v>1</v>
      </c>
      <c r="G19" s="18">
        <f>ROUND(E19*F19*Koeffizient,0)</f>
        <v>348</v>
      </c>
      <c r="H19" s="156"/>
      <c r="K19" s="37"/>
      <c r="M19" s="213" t="s">
        <v>102</v>
      </c>
      <c r="N19" s="204" t="s">
        <v>12</v>
      </c>
      <c r="O19" s="205" t="s">
        <v>13</v>
      </c>
      <c r="P19" s="205" t="s">
        <v>14</v>
      </c>
      <c r="Q19" s="206" t="s">
        <v>15</v>
      </c>
      <c r="R19" s="214" t="s">
        <v>12</v>
      </c>
      <c r="S19" s="215" t="s">
        <v>13</v>
      </c>
      <c r="T19" s="215" t="s">
        <v>14</v>
      </c>
      <c r="U19" s="216" t="s">
        <v>15</v>
      </c>
      <c r="V19" s="214" t="s">
        <v>12</v>
      </c>
      <c r="W19" s="215" t="s">
        <v>13</v>
      </c>
      <c r="X19" s="215" t="s">
        <v>14</v>
      </c>
      <c r="Y19" s="216" t="s">
        <v>15</v>
      </c>
      <c r="Z19" s="214" t="s">
        <v>12</v>
      </c>
      <c r="AA19" s="215" t="s">
        <v>13</v>
      </c>
      <c r="AB19" s="215" t="s">
        <v>14</v>
      </c>
      <c r="AC19" s="216" t="s">
        <v>15</v>
      </c>
      <c r="AD19" s="214" t="s">
        <v>12</v>
      </c>
      <c r="AE19" s="215" t="s">
        <v>13</v>
      </c>
      <c r="AF19" s="215" t="s">
        <v>14</v>
      </c>
      <c r="AG19" s="217" t="s">
        <v>15</v>
      </c>
      <c r="AH19" s="213" t="s">
        <v>102</v>
      </c>
      <c r="AI19" s="204" t="s">
        <v>16</v>
      </c>
      <c r="AJ19" s="205" t="s">
        <v>16</v>
      </c>
      <c r="AK19" s="206" t="s">
        <v>16</v>
      </c>
      <c r="AL19" s="214" t="s">
        <v>16</v>
      </c>
      <c r="AM19" s="215" t="s">
        <v>16</v>
      </c>
      <c r="AN19" s="216" t="s">
        <v>16</v>
      </c>
      <c r="AO19" s="187"/>
      <c r="AP19" s="187"/>
      <c r="AQ19" s="190"/>
      <c r="AR19" s="190"/>
      <c r="AS19" s="190"/>
      <c r="AT19" s="190"/>
      <c r="AU19" s="189"/>
      <c r="AV19" s="190"/>
      <c r="AW19" s="190"/>
      <c r="AX19" s="190"/>
      <c r="AY19" s="190"/>
    </row>
    <row r="20" spans="1:52" ht="12.75">
      <c r="A20" s="10" t="s">
        <v>17</v>
      </c>
      <c r="B20" s="197" t="s">
        <v>70</v>
      </c>
      <c r="C20" s="198">
        <f>H12</f>
        <v>0.8181818181818182</v>
      </c>
      <c r="D20" s="166">
        <v>1.2829</v>
      </c>
      <c r="E20" s="18">
        <v>444</v>
      </c>
      <c r="F20" s="11">
        <f>POWER(I12,D20)</f>
        <v>1</v>
      </c>
      <c r="G20" s="18">
        <f aca="true" t="shared" si="0" ref="G20:G42">E20*F20*Koeffizient</f>
        <v>444</v>
      </c>
      <c r="H20" s="156"/>
      <c r="L20" s="10"/>
      <c r="M20" s="218">
        <v>400</v>
      </c>
      <c r="N20" s="219">
        <f aca="true" t="shared" si="1" ref="N20:N38">ROUND(T11K_300*M20/1000,0)</f>
        <v>226</v>
      </c>
      <c r="O20" s="220">
        <f aca="true" t="shared" si="2" ref="O20:O38">ROUND(T21K_300*M20/1000,0)</f>
        <v>335</v>
      </c>
      <c r="P20" s="221">
        <f aca="true" t="shared" si="3" ref="P20:P38">ROUND(T22K_300*M20/1000,0)</f>
        <v>438</v>
      </c>
      <c r="Q20" s="222">
        <f aca="true" t="shared" si="4" ref="Q20:Q38">ROUND(T33K_300*M20/1000,0)</f>
        <v>624</v>
      </c>
      <c r="R20" s="219">
        <f aca="true" t="shared" si="5" ref="R20:R38">ROUND(T11K_400*M20/1000,0)</f>
        <v>283</v>
      </c>
      <c r="S20" s="220">
        <f aca="true" t="shared" si="6" ref="S20:S38">ROUND(T21K_400*M20/1000,0)</f>
        <v>419</v>
      </c>
      <c r="T20" s="221">
        <f aca="true" t="shared" si="7" ref="T20:T38">ROUND(T22K_400*M20/1000,0)</f>
        <v>543</v>
      </c>
      <c r="U20" s="222">
        <f aca="true" t="shared" si="8" ref="U20:U38">ROUND(T33K_400*M20/1000,0)</f>
        <v>774</v>
      </c>
      <c r="V20" s="219">
        <f aca="true" t="shared" si="9" ref="V20:V38">ROUND(T11K_500*M20/1000,0)</f>
        <v>337</v>
      </c>
      <c r="W20" s="220">
        <f aca="true" t="shared" si="10" ref="W20:W38">ROUND(T21K_500*M20/1000,0)</f>
        <v>491</v>
      </c>
      <c r="X20" s="221">
        <f aca="true" t="shared" si="11" ref="X20:X38">ROUND(T22K_500*M20/1000,0)</f>
        <v>617</v>
      </c>
      <c r="Y20" s="222">
        <f aca="true" t="shared" si="12" ref="Y20:Y38">ROUND(T33K_500*M20/1000,0)</f>
        <v>891</v>
      </c>
      <c r="Z20" s="219">
        <f aca="true" t="shared" si="13" ref="Z20:Z38">ROUND(T11K_600*M20/1000,0)</f>
        <v>376</v>
      </c>
      <c r="AA20" s="220">
        <f aca="true" t="shared" si="14" ref="AA20:AA38">ROUND(T21K_600*M20/1000,0)</f>
        <v>543</v>
      </c>
      <c r="AB20" s="221">
        <f aca="true" t="shared" si="15" ref="AB20:AB38">ROUND(T22K_600*M20/1000,0)</f>
        <v>685</v>
      </c>
      <c r="AC20" s="222">
        <f aca="true" t="shared" si="16" ref="AC20:AC38">ROUND(T33K_600*M20/1000,0)</f>
        <v>981</v>
      </c>
      <c r="AD20" s="219">
        <f aca="true" t="shared" si="17" ref="AD20:AD38">ROUND(T11K_900*M20/1000,0)</f>
        <v>517</v>
      </c>
      <c r="AE20" s="220">
        <f aca="true" t="shared" si="18" ref="AE20:AE38">ROUND(T21K_900*M20/1000,0)</f>
        <v>746</v>
      </c>
      <c r="AF20" s="221">
        <f aca="true" t="shared" si="19" ref="AF20:AF38">ROUND(T22K_900*M20/1000,0)</f>
        <v>918</v>
      </c>
      <c r="AG20" s="222">
        <f aca="true" t="shared" si="20" ref="AG20:AG38">ROUND(T33K_900*M20/1000,0)</f>
        <v>1288</v>
      </c>
      <c r="AH20" s="218">
        <v>400</v>
      </c>
      <c r="AI20" s="219">
        <f aca="true" t="shared" si="21" ref="AI20:AI38">ROUND(T21K_554*AH20/1000,0)</f>
        <v>518</v>
      </c>
      <c r="AJ20" s="220">
        <f aca="true" t="shared" si="22" ref="AJ20:AJ38">ROUND(T22K_554*AH20/1000,0)</f>
        <v>650</v>
      </c>
      <c r="AK20" s="223">
        <f aca="true" t="shared" si="23" ref="AK20:AK38">ROUND(T33K_554*AH20/1000,0)</f>
        <v>911</v>
      </c>
      <c r="AL20" s="224">
        <f aca="true" t="shared" si="24" ref="AL20:AL38">ROUND(T21K_954*$M20/1000,0)</f>
        <v>781</v>
      </c>
      <c r="AM20" s="225">
        <f aca="true" t="shared" si="25" ref="AM20:AM38">ROUND(T22K_954*$M20/1000,0)</f>
        <v>945</v>
      </c>
      <c r="AN20" s="222">
        <f aca="true" t="shared" si="26" ref="AN20:AN38">ROUND(T33K_954*$M20/1000,0)</f>
        <v>1321</v>
      </c>
      <c r="AO20" s="412"/>
      <c r="AP20" s="412"/>
      <c r="AQ20" s="188"/>
      <c r="AR20" s="188"/>
      <c r="AS20" s="188"/>
      <c r="AT20" s="188"/>
      <c r="AU20" s="188"/>
      <c r="AV20" s="188"/>
      <c r="AW20" s="188"/>
      <c r="AX20" s="188"/>
      <c r="AY20" s="188"/>
      <c r="AZ20" s="10"/>
    </row>
    <row r="21" spans="1:52" ht="12.75">
      <c r="A21" s="10" t="s">
        <v>18</v>
      </c>
      <c r="B21" s="197" t="s">
        <v>105</v>
      </c>
      <c r="C21" s="198">
        <f>I12</f>
        <v>1</v>
      </c>
      <c r="D21" s="166">
        <v>1.2918</v>
      </c>
      <c r="E21" s="18">
        <v>536</v>
      </c>
      <c r="F21" s="11">
        <f>POWER(I12,D21)</f>
        <v>1</v>
      </c>
      <c r="G21" s="18">
        <f t="shared" si="0"/>
        <v>536</v>
      </c>
      <c r="H21" s="156"/>
      <c r="L21" s="10"/>
      <c r="M21" s="226">
        <v>520</v>
      </c>
      <c r="N21" s="224">
        <f t="shared" si="1"/>
        <v>294</v>
      </c>
      <c r="O21" s="221">
        <f t="shared" si="2"/>
        <v>436</v>
      </c>
      <c r="P21" s="220">
        <f t="shared" si="3"/>
        <v>569</v>
      </c>
      <c r="Q21" s="223">
        <f t="shared" si="4"/>
        <v>812</v>
      </c>
      <c r="R21" s="224">
        <f t="shared" si="5"/>
        <v>368</v>
      </c>
      <c r="S21" s="221">
        <f t="shared" si="6"/>
        <v>544</v>
      </c>
      <c r="T21" s="220">
        <f t="shared" si="7"/>
        <v>706</v>
      </c>
      <c r="U21" s="223">
        <f t="shared" si="8"/>
        <v>1007</v>
      </c>
      <c r="V21" s="224">
        <f t="shared" si="9"/>
        <v>438</v>
      </c>
      <c r="W21" s="221">
        <f t="shared" si="10"/>
        <v>638</v>
      </c>
      <c r="X21" s="220">
        <f t="shared" si="11"/>
        <v>802</v>
      </c>
      <c r="Y21" s="223">
        <f t="shared" si="12"/>
        <v>1159</v>
      </c>
      <c r="Z21" s="224">
        <f t="shared" si="13"/>
        <v>488</v>
      </c>
      <c r="AA21" s="221">
        <f t="shared" si="14"/>
        <v>706</v>
      </c>
      <c r="AB21" s="220">
        <f t="shared" si="15"/>
        <v>891</v>
      </c>
      <c r="AC21" s="223">
        <f t="shared" si="16"/>
        <v>1276</v>
      </c>
      <c r="AD21" s="224">
        <f t="shared" si="17"/>
        <v>672</v>
      </c>
      <c r="AE21" s="221">
        <f t="shared" si="18"/>
        <v>969</v>
      </c>
      <c r="AF21" s="220">
        <f t="shared" si="19"/>
        <v>1194</v>
      </c>
      <c r="AG21" s="223">
        <f t="shared" si="20"/>
        <v>1675</v>
      </c>
      <c r="AH21" s="226">
        <v>520</v>
      </c>
      <c r="AI21" s="224">
        <f t="shared" si="21"/>
        <v>673</v>
      </c>
      <c r="AJ21" s="221">
        <f t="shared" si="22"/>
        <v>846</v>
      </c>
      <c r="AK21" s="222">
        <f t="shared" si="23"/>
        <v>1184</v>
      </c>
      <c r="AL21" s="227">
        <f t="shared" si="24"/>
        <v>1015</v>
      </c>
      <c r="AM21" s="220">
        <f t="shared" si="25"/>
        <v>1228</v>
      </c>
      <c r="AN21" s="228">
        <f t="shared" si="26"/>
        <v>1717</v>
      </c>
      <c r="AO21" s="412"/>
      <c r="AP21" s="412"/>
      <c r="AQ21" s="184"/>
      <c r="AR21" s="184"/>
      <c r="AS21" s="184"/>
      <c r="AT21" s="184"/>
      <c r="AU21" s="184"/>
      <c r="AV21" s="184"/>
      <c r="AW21" s="184"/>
      <c r="AX21" s="184"/>
      <c r="AY21" s="184"/>
      <c r="AZ21" s="10"/>
    </row>
    <row r="22" spans="1:52" ht="12.75">
      <c r="A22" s="10" t="s">
        <v>48</v>
      </c>
      <c r="B22" s="174"/>
      <c r="C22" s="174"/>
      <c r="D22" s="166">
        <v>1.2965</v>
      </c>
      <c r="E22" s="18">
        <v>585</v>
      </c>
      <c r="F22" s="11">
        <f>POWER(I12,D22)</f>
        <v>1</v>
      </c>
      <c r="G22" s="18">
        <f t="shared" si="0"/>
        <v>585</v>
      </c>
      <c r="H22" s="156"/>
      <c r="M22" s="218">
        <v>600</v>
      </c>
      <c r="N22" s="219">
        <f t="shared" si="1"/>
        <v>339</v>
      </c>
      <c r="O22" s="220">
        <f t="shared" si="2"/>
        <v>503</v>
      </c>
      <c r="P22" s="221">
        <f t="shared" si="3"/>
        <v>657</v>
      </c>
      <c r="Q22" s="222">
        <f t="shared" si="4"/>
        <v>937</v>
      </c>
      <c r="R22" s="219">
        <f t="shared" si="5"/>
        <v>425</v>
      </c>
      <c r="S22" s="220">
        <f t="shared" si="6"/>
        <v>628</v>
      </c>
      <c r="T22" s="221">
        <f t="shared" si="7"/>
        <v>814</v>
      </c>
      <c r="U22" s="222">
        <f t="shared" si="8"/>
        <v>1162</v>
      </c>
      <c r="V22" s="219">
        <f t="shared" si="9"/>
        <v>506</v>
      </c>
      <c r="W22" s="220">
        <f t="shared" si="10"/>
        <v>736</v>
      </c>
      <c r="X22" s="221">
        <f t="shared" si="11"/>
        <v>926</v>
      </c>
      <c r="Y22" s="222">
        <f t="shared" si="12"/>
        <v>1337</v>
      </c>
      <c r="Z22" s="219">
        <f t="shared" si="13"/>
        <v>563</v>
      </c>
      <c r="AA22" s="220">
        <f t="shared" si="14"/>
        <v>814</v>
      </c>
      <c r="AB22" s="221">
        <f t="shared" si="15"/>
        <v>1028</v>
      </c>
      <c r="AC22" s="222">
        <f t="shared" si="16"/>
        <v>1472</v>
      </c>
      <c r="AD22" s="219">
        <f t="shared" si="17"/>
        <v>775</v>
      </c>
      <c r="AE22" s="220">
        <f t="shared" si="18"/>
        <v>1118</v>
      </c>
      <c r="AF22" s="221">
        <f t="shared" si="19"/>
        <v>1378</v>
      </c>
      <c r="AG22" s="222">
        <f t="shared" si="20"/>
        <v>1933</v>
      </c>
      <c r="AH22" s="218">
        <v>600</v>
      </c>
      <c r="AI22" s="219">
        <f t="shared" si="21"/>
        <v>777</v>
      </c>
      <c r="AJ22" s="220">
        <f t="shared" si="22"/>
        <v>976</v>
      </c>
      <c r="AK22" s="223">
        <f t="shared" si="23"/>
        <v>1366</v>
      </c>
      <c r="AL22" s="224">
        <f t="shared" si="24"/>
        <v>1171</v>
      </c>
      <c r="AM22" s="225">
        <f t="shared" si="25"/>
        <v>1417</v>
      </c>
      <c r="AN22" s="222">
        <f t="shared" si="26"/>
        <v>1981</v>
      </c>
      <c r="AO22" s="412"/>
      <c r="AP22" s="412"/>
      <c r="AQ22" s="184"/>
      <c r="AR22" s="184"/>
      <c r="AS22" s="184"/>
      <c r="AT22" s="184"/>
      <c r="AU22" s="184"/>
      <c r="AV22" s="184"/>
      <c r="AW22" s="184"/>
      <c r="AX22" s="184"/>
      <c r="AY22" s="184"/>
      <c r="AZ22" s="10"/>
    </row>
    <row r="23" spans="1:52" ht="12.75">
      <c r="A23" s="2" t="s">
        <v>19</v>
      </c>
      <c r="B23" s="174"/>
      <c r="C23" s="174"/>
      <c r="D23" s="167">
        <v>1.3006</v>
      </c>
      <c r="E23" s="19">
        <v>625</v>
      </c>
      <c r="F23" s="7">
        <f>POWER(I12,D23)</f>
        <v>1</v>
      </c>
      <c r="G23" s="18">
        <f t="shared" si="0"/>
        <v>625</v>
      </c>
      <c r="H23" s="156"/>
      <c r="M23" s="226">
        <v>720</v>
      </c>
      <c r="N23" s="224">
        <f t="shared" si="1"/>
        <v>407</v>
      </c>
      <c r="O23" s="221">
        <f t="shared" si="2"/>
        <v>603</v>
      </c>
      <c r="P23" s="220">
        <f t="shared" si="3"/>
        <v>788</v>
      </c>
      <c r="Q23" s="223">
        <f t="shared" si="4"/>
        <v>1124</v>
      </c>
      <c r="R23" s="224">
        <f t="shared" si="5"/>
        <v>510</v>
      </c>
      <c r="S23" s="221">
        <f t="shared" si="6"/>
        <v>754</v>
      </c>
      <c r="T23" s="220">
        <f t="shared" si="7"/>
        <v>977</v>
      </c>
      <c r="U23" s="223">
        <f t="shared" si="8"/>
        <v>1394</v>
      </c>
      <c r="V23" s="224">
        <f t="shared" si="9"/>
        <v>607</v>
      </c>
      <c r="W23" s="221">
        <f t="shared" si="10"/>
        <v>883</v>
      </c>
      <c r="X23" s="220">
        <f t="shared" si="11"/>
        <v>1111</v>
      </c>
      <c r="Y23" s="223">
        <f t="shared" si="12"/>
        <v>1604</v>
      </c>
      <c r="Z23" s="224">
        <f t="shared" si="13"/>
        <v>676</v>
      </c>
      <c r="AA23" s="221">
        <f t="shared" si="14"/>
        <v>977</v>
      </c>
      <c r="AB23" s="220">
        <f t="shared" si="15"/>
        <v>1233</v>
      </c>
      <c r="AC23" s="223">
        <f t="shared" si="16"/>
        <v>1766</v>
      </c>
      <c r="AD23" s="224">
        <f t="shared" si="17"/>
        <v>930</v>
      </c>
      <c r="AE23" s="221">
        <f t="shared" si="18"/>
        <v>1342</v>
      </c>
      <c r="AF23" s="220">
        <f t="shared" si="19"/>
        <v>1653</v>
      </c>
      <c r="AG23" s="223">
        <f t="shared" si="20"/>
        <v>2319</v>
      </c>
      <c r="AH23" s="226">
        <v>720</v>
      </c>
      <c r="AI23" s="224">
        <f t="shared" si="21"/>
        <v>932</v>
      </c>
      <c r="AJ23" s="221">
        <f t="shared" si="22"/>
        <v>1171</v>
      </c>
      <c r="AK23" s="222">
        <f t="shared" si="23"/>
        <v>1639</v>
      </c>
      <c r="AL23" s="227">
        <f t="shared" si="24"/>
        <v>1405</v>
      </c>
      <c r="AM23" s="220">
        <f t="shared" si="25"/>
        <v>1701</v>
      </c>
      <c r="AN23" s="228">
        <f t="shared" si="26"/>
        <v>2377</v>
      </c>
      <c r="AO23" s="412"/>
      <c r="AP23" s="412"/>
      <c r="AQ23" s="184"/>
      <c r="AR23" s="184"/>
      <c r="AS23" s="184"/>
      <c r="AT23" s="184"/>
      <c r="AU23" s="184"/>
      <c r="AV23" s="184"/>
      <c r="AW23" s="184"/>
      <c r="AX23" s="184"/>
      <c r="AY23" s="184"/>
      <c r="AZ23" s="10"/>
    </row>
    <row r="24" spans="1:52" ht="12.75">
      <c r="A24" s="2" t="s">
        <v>49</v>
      </c>
      <c r="B24" s="174"/>
      <c r="C24" s="174"/>
      <c r="D24" s="167">
        <v>1.3027</v>
      </c>
      <c r="E24" s="19">
        <v>754</v>
      </c>
      <c r="F24" s="7">
        <f>POWER(I12,D24)</f>
        <v>1</v>
      </c>
      <c r="G24" s="18">
        <f t="shared" si="0"/>
        <v>754</v>
      </c>
      <c r="H24" s="156"/>
      <c r="M24" s="218">
        <v>800</v>
      </c>
      <c r="N24" s="219">
        <f t="shared" si="1"/>
        <v>452</v>
      </c>
      <c r="O24" s="220">
        <f t="shared" si="2"/>
        <v>670</v>
      </c>
      <c r="P24" s="221">
        <f t="shared" si="3"/>
        <v>876</v>
      </c>
      <c r="Q24" s="222">
        <f t="shared" si="4"/>
        <v>1249</v>
      </c>
      <c r="R24" s="219">
        <f t="shared" si="5"/>
        <v>566</v>
      </c>
      <c r="S24" s="220">
        <f t="shared" si="6"/>
        <v>838</v>
      </c>
      <c r="T24" s="221">
        <f t="shared" si="7"/>
        <v>1086</v>
      </c>
      <c r="U24" s="222">
        <f t="shared" si="8"/>
        <v>1549</v>
      </c>
      <c r="V24" s="219">
        <f t="shared" si="9"/>
        <v>674</v>
      </c>
      <c r="W24" s="220">
        <f t="shared" si="10"/>
        <v>982</v>
      </c>
      <c r="X24" s="221">
        <f t="shared" si="11"/>
        <v>1234</v>
      </c>
      <c r="Y24" s="222">
        <f t="shared" si="12"/>
        <v>1782</v>
      </c>
      <c r="Z24" s="219">
        <f t="shared" si="13"/>
        <v>751</v>
      </c>
      <c r="AA24" s="220">
        <f t="shared" si="14"/>
        <v>1086</v>
      </c>
      <c r="AB24" s="221">
        <f t="shared" si="15"/>
        <v>1370</v>
      </c>
      <c r="AC24" s="222">
        <f t="shared" si="16"/>
        <v>1962</v>
      </c>
      <c r="AD24" s="219">
        <f t="shared" si="17"/>
        <v>1034</v>
      </c>
      <c r="AE24" s="220">
        <f t="shared" si="18"/>
        <v>1491</v>
      </c>
      <c r="AF24" s="221">
        <f t="shared" si="19"/>
        <v>1837</v>
      </c>
      <c r="AG24" s="222">
        <f t="shared" si="20"/>
        <v>2577</v>
      </c>
      <c r="AH24" s="218">
        <v>800</v>
      </c>
      <c r="AI24" s="219">
        <f t="shared" si="21"/>
        <v>1036</v>
      </c>
      <c r="AJ24" s="220">
        <f t="shared" si="22"/>
        <v>1301</v>
      </c>
      <c r="AK24" s="223">
        <f t="shared" si="23"/>
        <v>1822</v>
      </c>
      <c r="AL24" s="224">
        <f t="shared" si="24"/>
        <v>1562</v>
      </c>
      <c r="AM24" s="225">
        <f t="shared" si="25"/>
        <v>1890</v>
      </c>
      <c r="AN24" s="222">
        <f t="shared" si="26"/>
        <v>2642</v>
      </c>
      <c r="AO24" s="412"/>
      <c r="AP24" s="412"/>
      <c r="AQ24" s="184"/>
      <c r="AR24" s="184"/>
      <c r="AS24" s="184"/>
      <c r="AT24" s="184"/>
      <c r="AU24" s="184"/>
      <c r="AV24" s="184"/>
      <c r="AW24" s="184"/>
      <c r="AX24" s="184"/>
      <c r="AY24" s="184"/>
      <c r="AZ24" s="10"/>
    </row>
    <row r="25" spans="1:52" ht="12.75">
      <c r="A25" s="2" t="s">
        <v>20</v>
      </c>
      <c r="B25" s="174"/>
      <c r="C25" s="174"/>
      <c r="D25" s="167">
        <v>1.3048</v>
      </c>
      <c r="E25" s="19">
        <v>878</v>
      </c>
      <c r="F25" s="7">
        <f>POWER(I12,D25)</f>
        <v>1</v>
      </c>
      <c r="G25" s="18">
        <f t="shared" si="0"/>
        <v>878</v>
      </c>
      <c r="H25" s="156"/>
      <c r="M25" s="226">
        <v>920</v>
      </c>
      <c r="N25" s="224">
        <f t="shared" si="1"/>
        <v>520</v>
      </c>
      <c r="O25" s="221">
        <f t="shared" si="2"/>
        <v>771</v>
      </c>
      <c r="P25" s="220">
        <f t="shared" si="3"/>
        <v>1007</v>
      </c>
      <c r="Q25" s="223">
        <f t="shared" si="4"/>
        <v>1436</v>
      </c>
      <c r="R25" s="224">
        <f t="shared" si="5"/>
        <v>651</v>
      </c>
      <c r="S25" s="221">
        <f t="shared" si="6"/>
        <v>963</v>
      </c>
      <c r="T25" s="220">
        <f t="shared" si="7"/>
        <v>1248</v>
      </c>
      <c r="U25" s="223">
        <f t="shared" si="8"/>
        <v>1781</v>
      </c>
      <c r="V25" s="224">
        <f t="shared" si="9"/>
        <v>776</v>
      </c>
      <c r="W25" s="221">
        <f t="shared" si="10"/>
        <v>1129</v>
      </c>
      <c r="X25" s="220">
        <f t="shared" si="11"/>
        <v>1420</v>
      </c>
      <c r="Y25" s="223">
        <f t="shared" si="12"/>
        <v>2050</v>
      </c>
      <c r="Z25" s="224">
        <f t="shared" si="13"/>
        <v>864</v>
      </c>
      <c r="AA25" s="221">
        <f t="shared" si="14"/>
        <v>1248</v>
      </c>
      <c r="AB25" s="220">
        <f t="shared" si="15"/>
        <v>1576</v>
      </c>
      <c r="AC25" s="223">
        <f t="shared" si="16"/>
        <v>2257</v>
      </c>
      <c r="AD25" s="224">
        <f t="shared" si="17"/>
        <v>1189</v>
      </c>
      <c r="AE25" s="221">
        <f t="shared" si="18"/>
        <v>1715</v>
      </c>
      <c r="AF25" s="220">
        <f t="shared" si="19"/>
        <v>2112</v>
      </c>
      <c r="AG25" s="223">
        <f t="shared" si="20"/>
        <v>2963</v>
      </c>
      <c r="AH25" s="226">
        <v>920</v>
      </c>
      <c r="AI25" s="224">
        <f t="shared" si="21"/>
        <v>1191</v>
      </c>
      <c r="AJ25" s="221">
        <f t="shared" si="22"/>
        <v>1496</v>
      </c>
      <c r="AK25" s="222">
        <f t="shared" si="23"/>
        <v>2095</v>
      </c>
      <c r="AL25" s="227">
        <f t="shared" si="24"/>
        <v>1796</v>
      </c>
      <c r="AM25" s="220">
        <f t="shared" si="25"/>
        <v>2173</v>
      </c>
      <c r="AN25" s="228">
        <f t="shared" si="26"/>
        <v>3038</v>
      </c>
      <c r="AO25" s="412"/>
      <c r="AP25" s="412"/>
      <c r="AQ25" s="184"/>
      <c r="AR25" s="184"/>
      <c r="AS25" s="184"/>
      <c r="AT25" s="184"/>
      <c r="AU25" s="184"/>
      <c r="AV25" s="184"/>
      <c r="AW25" s="184"/>
      <c r="AX25" s="184"/>
      <c r="AY25" s="184"/>
      <c r="AZ25" s="10"/>
    </row>
    <row r="26" spans="1:52" ht="12.75">
      <c r="A26" s="74" t="s">
        <v>21</v>
      </c>
      <c r="B26" s="174"/>
      <c r="C26" s="174"/>
      <c r="D26" s="168">
        <v>1.3298</v>
      </c>
      <c r="E26" s="76">
        <v>565</v>
      </c>
      <c r="F26" s="77">
        <f>POWER(I12,D26)</f>
        <v>1</v>
      </c>
      <c r="G26" s="151">
        <f t="shared" si="0"/>
        <v>565</v>
      </c>
      <c r="H26" s="156"/>
      <c r="I26" s="74"/>
      <c r="J26" s="74"/>
      <c r="K26" s="177"/>
      <c r="L26" s="74"/>
      <c r="M26" s="218">
        <v>1000</v>
      </c>
      <c r="N26" s="227">
        <f t="shared" si="1"/>
        <v>565</v>
      </c>
      <c r="O26" s="220">
        <f t="shared" si="2"/>
        <v>838</v>
      </c>
      <c r="P26" s="225">
        <f t="shared" si="3"/>
        <v>1095</v>
      </c>
      <c r="Q26" s="222">
        <f t="shared" si="4"/>
        <v>1561</v>
      </c>
      <c r="R26" s="227">
        <f t="shared" si="5"/>
        <v>708</v>
      </c>
      <c r="S26" s="220">
        <f t="shared" si="6"/>
        <v>1047</v>
      </c>
      <c r="T26" s="225">
        <f t="shared" si="7"/>
        <v>1357</v>
      </c>
      <c r="U26" s="222">
        <f t="shared" si="8"/>
        <v>1936</v>
      </c>
      <c r="V26" s="227">
        <f t="shared" si="9"/>
        <v>843</v>
      </c>
      <c r="W26" s="220">
        <f t="shared" si="10"/>
        <v>1227</v>
      </c>
      <c r="X26" s="225">
        <f t="shared" si="11"/>
        <v>1543</v>
      </c>
      <c r="Y26" s="222">
        <f t="shared" si="12"/>
        <v>2228</v>
      </c>
      <c r="Z26" s="227">
        <f t="shared" si="13"/>
        <v>939</v>
      </c>
      <c r="AA26" s="220">
        <f t="shared" si="14"/>
        <v>1357</v>
      </c>
      <c r="AB26" s="225">
        <f t="shared" si="15"/>
        <v>1713</v>
      </c>
      <c r="AC26" s="222">
        <f t="shared" si="16"/>
        <v>2453</v>
      </c>
      <c r="AD26" s="227">
        <f t="shared" si="17"/>
        <v>1292</v>
      </c>
      <c r="AE26" s="220">
        <f t="shared" si="18"/>
        <v>1864</v>
      </c>
      <c r="AF26" s="225">
        <f t="shared" si="19"/>
        <v>2296</v>
      </c>
      <c r="AG26" s="222">
        <f t="shared" si="20"/>
        <v>3221</v>
      </c>
      <c r="AH26" s="218">
        <v>1000</v>
      </c>
      <c r="AI26" s="227">
        <f t="shared" si="21"/>
        <v>1295</v>
      </c>
      <c r="AJ26" s="220">
        <f t="shared" si="22"/>
        <v>1626</v>
      </c>
      <c r="AK26" s="228">
        <f t="shared" si="23"/>
        <v>2277</v>
      </c>
      <c r="AL26" s="224">
        <f t="shared" si="24"/>
        <v>1952</v>
      </c>
      <c r="AM26" s="225">
        <f t="shared" si="25"/>
        <v>2362</v>
      </c>
      <c r="AN26" s="222">
        <f t="shared" si="26"/>
        <v>3302</v>
      </c>
      <c r="AO26" s="412"/>
      <c r="AP26" s="412"/>
      <c r="AQ26" s="184"/>
      <c r="AR26" s="184"/>
      <c r="AS26" s="184"/>
      <c r="AT26" s="184"/>
      <c r="AU26" s="184"/>
      <c r="AV26" s="184"/>
      <c r="AW26" s="184"/>
      <c r="AX26" s="184"/>
      <c r="AY26" s="184"/>
      <c r="AZ26" s="18"/>
    </row>
    <row r="27" spans="1:52" ht="12.75">
      <c r="A27" s="74" t="s">
        <v>22</v>
      </c>
      <c r="B27" s="174"/>
      <c r="C27" s="174"/>
      <c r="D27" s="168">
        <v>1.342</v>
      </c>
      <c r="E27" s="76">
        <v>708</v>
      </c>
      <c r="F27" s="77">
        <f>POWER(I12,D27)</f>
        <v>1</v>
      </c>
      <c r="G27" s="151">
        <f t="shared" si="0"/>
        <v>708</v>
      </c>
      <c r="H27" s="156"/>
      <c r="I27" s="74"/>
      <c r="J27" s="74"/>
      <c r="K27" s="177"/>
      <c r="L27" s="74"/>
      <c r="M27" s="226">
        <v>1120</v>
      </c>
      <c r="N27" s="224">
        <f t="shared" si="1"/>
        <v>633</v>
      </c>
      <c r="O27" s="221">
        <f t="shared" si="2"/>
        <v>939</v>
      </c>
      <c r="P27" s="220">
        <f t="shared" si="3"/>
        <v>1226</v>
      </c>
      <c r="Q27" s="223">
        <f t="shared" si="4"/>
        <v>1748</v>
      </c>
      <c r="R27" s="224">
        <f t="shared" si="5"/>
        <v>793</v>
      </c>
      <c r="S27" s="221">
        <f t="shared" si="6"/>
        <v>1173</v>
      </c>
      <c r="T27" s="220">
        <f t="shared" si="7"/>
        <v>1520</v>
      </c>
      <c r="U27" s="223">
        <f t="shared" si="8"/>
        <v>2168</v>
      </c>
      <c r="V27" s="224">
        <f t="shared" si="9"/>
        <v>944</v>
      </c>
      <c r="W27" s="221">
        <f t="shared" si="10"/>
        <v>1374</v>
      </c>
      <c r="X27" s="220">
        <f t="shared" si="11"/>
        <v>1728</v>
      </c>
      <c r="Y27" s="223">
        <f t="shared" si="12"/>
        <v>2495</v>
      </c>
      <c r="Z27" s="224">
        <f t="shared" si="13"/>
        <v>1052</v>
      </c>
      <c r="AA27" s="221">
        <f t="shared" si="14"/>
        <v>1520</v>
      </c>
      <c r="AB27" s="220">
        <f t="shared" si="15"/>
        <v>1919</v>
      </c>
      <c r="AC27" s="223">
        <f t="shared" si="16"/>
        <v>2747</v>
      </c>
      <c r="AD27" s="224">
        <f t="shared" si="17"/>
        <v>1447</v>
      </c>
      <c r="AE27" s="221">
        <f t="shared" si="18"/>
        <v>2088</v>
      </c>
      <c r="AF27" s="220">
        <f t="shared" si="19"/>
        <v>2572</v>
      </c>
      <c r="AG27" s="223">
        <f t="shared" si="20"/>
        <v>3608</v>
      </c>
      <c r="AH27" s="226">
        <v>1120</v>
      </c>
      <c r="AI27" s="224">
        <f t="shared" si="21"/>
        <v>1450</v>
      </c>
      <c r="AJ27" s="221">
        <f t="shared" si="22"/>
        <v>1821</v>
      </c>
      <c r="AK27" s="222">
        <f t="shared" si="23"/>
        <v>2550</v>
      </c>
      <c r="AL27" s="227">
        <f t="shared" si="24"/>
        <v>2186</v>
      </c>
      <c r="AM27" s="220">
        <f t="shared" si="25"/>
        <v>2645</v>
      </c>
      <c r="AN27" s="228">
        <f t="shared" si="26"/>
        <v>3698</v>
      </c>
      <c r="AO27" s="412"/>
      <c r="AP27" s="412"/>
      <c r="AQ27" s="184"/>
      <c r="AR27" s="184"/>
      <c r="AS27" s="184"/>
      <c r="AT27" s="184"/>
      <c r="AU27" s="184"/>
      <c r="AV27" s="184"/>
      <c r="AW27" s="184"/>
      <c r="AX27" s="184"/>
      <c r="AY27" s="184"/>
      <c r="AZ27" s="18"/>
    </row>
    <row r="28" spans="1:52" ht="12.75">
      <c r="A28" s="74" t="s">
        <v>23</v>
      </c>
      <c r="B28" s="200"/>
      <c r="C28" s="174"/>
      <c r="D28" s="168">
        <v>1.3299</v>
      </c>
      <c r="E28" s="76">
        <v>843</v>
      </c>
      <c r="F28" s="77">
        <f>POWER(I12,D28)</f>
        <v>1</v>
      </c>
      <c r="G28" s="151">
        <f t="shared" si="0"/>
        <v>843</v>
      </c>
      <c r="H28" s="156"/>
      <c r="I28" s="74"/>
      <c r="J28" s="74"/>
      <c r="K28" s="177"/>
      <c r="L28" s="74"/>
      <c r="M28" s="218">
        <v>1200</v>
      </c>
      <c r="N28" s="219">
        <f t="shared" si="1"/>
        <v>678</v>
      </c>
      <c r="O28" s="220">
        <f t="shared" si="2"/>
        <v>1006</v>
      </c>
      <c r="P28" s="221">
        <f t="shared" si="3"/>
        <v>1314</v>
      </c>
      <c r="Q28" s="222">
        <f t="shared" si="4"/>
        <v>1873</v>
      </c>
      <c r="R28" s="219">
        <f t="shared" si="5"/>
        <v>850</v>
      </c>
      <c r="S28" s="220">
        <f t="shared" si="6"/>
        <v>1256</v>
      </c>
      <c r="T28" s="221">
        <f t="shared" si="7"/>
        <v>1628</v>
      </c>
      <c r="U28" s="222">
        <f t="shared" si="8"/>
        <v>2323</v>
      </c>
      <c r="V28" s="219">
        <f t="shared" si="9"/>
        <v>1012</v>
      </c>
      <c r="W28" s="220">
        <f t="shared" si="10"/>
        <v>1472</v>
      </c>
      <c r="X28" s="221">
        <f t="shared" si="11"/>
        <v>1852</v>
      </c>
      <c r="Y28" s="222">
        <f t="shared" si="12"/>
        <v>2674</v>
      </c>
      <c r="Z28" s="219">
        <f t="shared" si="13"/>
        <v>1127</v>
      </c>
      <c r="AA28" s="220">
        <f t="shared" si="14"/>
        <v>1628</v>
      </c>
      <c r="AB28" s="221">
        <f t="shared" si="15"/>
        <v>2056</v>
      </c>
      <c r="AC28" s="222">
        <f t="shared" si="16"/>
        <v>2944</v>
      </c>
      <c r="AD28" s="219">
        <f t="shared" si="17"/>
        <v>1550</v>
      </c>
      <c r="AE28" s="220">
        <f t="shared" si="18"/>
        <v>2237</v>
      </c>
      <c r="AF28" s="221">
        <f t="shared" si="19"/>
        <v>2755</v>
      </c>
      <c r="AG28" s="222">
        <f t="shared" si="20"/>
        <v>3865</v>
      </c>
      <c r="AH28" s="218">
        <v>1200</v>
      </c>
      <c r="AI28" s="219">
        <f t="shared" si="21"/>
        <v>1554</v>
      </c>
      <c r="AJ28" s="220">
        <f t="shared" si="22"/>
        <v>1951</v>
      </c>
      <c r="AK28" s="223">
        <f t="shared" si="23"/>
        <v>2732</v>
      </c>
      <c r="AL28" s="224">
        <f t="shared" si="24"/>
        <v>2342</v>
      </c>
      <c r="AM28" s="225">
        <f t="shared" si="25"/>
        <v>2834</v>
      </c>
      <c r="AN28" s="222">
        <f t="shared" si="26"/>
        <v>3962</v>
      </c>
      <c r="AO28" s="412"/>
      <c r="AP28" s="412"/>
      <c r="AQ28" s="184"/>
      <c r="AR28" s="184"/>
      <c r="AS28" s="184"/>
      <c r="AT28" s="184"/>
      <c r="AU28" s="184"/>
      <c r="AV28" s="184"/>
      <c r="AW28" s="184"/>
      <c r="AX28" s="184"/>
      <c r="AY28" s="184"/>
      <c r="AZ28" s="18"/>
    </row>
    <row r="29" spans="1:52" ht="12.75">
      <c r="A29" s="74" t="s">
        <v>24</v>
      </c>
      <c r="B29" s="174"/>
      <c r="C29" s="174"/>
      <c r="D29" s="168">
        <v>1.3193</v>
      </c>
      <c r="E29" s="76">
        <v>939</v>
      </c>
      <c r="F29" s="77">
        <f>POWER(I12,D29)</f>
        <v>1</v>
      </c>
      <c r="G29" s="151">
        <f t="shared" si="0"/>
        <v>939</v>
      </c>
      <c r="H29" s="156"/>
      <c r="I29" s="74"/>
      <c r="J29" s="74"/>
      <c r="K29" s="177"/>
      <c r="L29" s="74"/>
      <c r="M29" s="226">
        <v>1320</v>
      </c>
      <c r="N29" s="224">
        <f t="shared" si="1"/>
        <v>746</v>
      </c>
      <c r="O29" s="221">
        <f t="shared" si="2"/>
        <v>1106</v>
      </c>
      <c r="P29" s="220">
        <f t="shared" si="3"/>
        <v>1445</v>
      </c>
      <c r="Q29" s="223">
        <f t="shared" si="4"/>
        <v>2061</v>
      </c>
      <c r="R29" s="224">
        <f t="shared" si="5"/>
        <v>935</v>
      </c>
      <c r="S29" s="221">
        <f t="shared" si="6"/>
        <v>1382</v>
      </c>
      <c r="T29" s="220">
        <f t="shared" si="7"/>
        <v>1791</v>
      </c>
      <c r="U29" s="223">
        <f t="shared" si="8"/>
        <v>2556</v>
      </c>
      <c r="V29" s="224">
        <f t="shared" si="9"/>
        <v>1113</v>
      </c>
      <c r="W29" s="221">
        <f t="shared" si="10"/>
        <v>1620</v>
      </c>
      <c r="X29" s="220">
        <f t="shared" si="11"/>
        <v>2037</v>
      </c>
      <c r="Y29" s="223">
        <f t="shared" si="12"/>
        <v>2941</v>
      </c>
      <c r="Z29" s="224">
        <f t="shared" si="13"/>
        <v>1239</v>
      </c>
      <c r="AA29" s="221">
        <f t="shared" si="14"/>
        <v>1791</v>
      </c>
      <c r="AB29" s="220">
        <f t="shared" si="15"/>
        <v>2261</v>
      </c>
      <c r="AC29" s="223">
        <f t="shared" si="16"/>
        <v>3238</v>
      </c>
      <c r="AD29" s="224">
        <f t="shared" si="17"/>
        <v>1705</v>
      </c>
      <c r="AE29" s="221">
        <f t="shared" si="18"/>
        <v>2460</v>
      </c>
      <c r="AF29" s="220">
        <f t="shared" si="19"/>
        <v>3031</v>
      </c>
      <c r="AG29" s="223">
        <f t="shared" si="20"/>
        <v>4252</v>
      </c>
      <c r="AH29" s="226">
        <v>1320</v>
      </c>
      <c r="AI29" s="224">
        <f t="shared" si="21"/>
        <v>1709</v>
      </c>
      <c r="AJ29" s="221">
        <f t="shared" si="22"/>
        <v>2146</v>
      </c>
      <c r="AK29" s="222">
        <f t="shared" si="23"/>
        <v>3006</v>
      </c>
      <c r="AL29" s="227">
        <f t="shared" si="24"/>
        <v>2577</v>
      </c>
      <c r="AM29" s="220">
        <f t="shared" si="25"/>
        <v>3118</v>
      </c>
      <c r="AN29" s="228">
        <f t="shared" si="26"/>
        <v>4359</v>
      </c>
      <c r="AO29" s="412"/>
      <c r="AP29" s="412"/>
      <c r="AQ29" s="184"/>
      <c r="AR29" s="184"/>
      <c r="AS29" s="184"/>
      <c r="AT29" s="184"/>
      <c r="AU29" s="184"/>
      <c r="AV29" s="184"/>
      <c r="AW29" s="184"/>
      <c r="AX29" s="184"/>
      <c r="AY29" s="184"/>
      <c r="AZ29" s="18"/>
    </row>
    <row r="30" spans="1:52" ht="12.75">
      <c r="A30" s="74" t="s">
        <v>50</v>
      </c>
      <c r="B30" s="174"/>
      <c r="C30" s="174"/>
      <c r="D30" s="168">
        <v>1.3337</v>
      </c>
      <c r="E30" s="76">
        <v>1128</v>
      </c>
      <c r="F30" s="77">
        <f>POWER(I12,D30)</f>
        <v>1</v>
      </c>
      <c r="G30" s="151">
        <f t="shared" si="0"/>
        <v>1128</v>
      </c>
      <c r="H30" s="156"/>
      <c r="I30" s="74"/>
      <c r="J30" s="74"/>
      <c r="K30" s="177"/>
      <c r="L30" s="74"/>
      <c r="M30" s="218">
        <v>1400</v>
      </c>
      <c r="N30" s="219">
        <f t="shared" si="1"/>
        <v>791</v>
      </c>
      <c r="O30" s="220">
        <f t="shared" si="2"/>
        <v>1173</v>
      </c>
      <c r="P30" s="221">
        <f t="shared" si="3"/>
        <v>1533</v>
      </c>
      <c r="Q30" s="222">
        <f t="shared" si="4"/>
        <v>2185</v>
      </c>
      <c r="R30" s="219">
        <f t="shared" si="5"/>
        <v>991</v>
      </c>
      <c r="S30" s="220">
        <f t="shared" si="6"/>
        <v>1466</v>
      </c>
      <c r="T30" s="221">
        <f t="shared" si="7"/>
        <v>1900</v>
      </c>
      <c r="U30" s="222">
        <f t="shared" si="8"/>
        <v>2710</v>
      </c>
      <c r="V30" s="219">
        <f t="shared" si="9"/>
        <v>1180</v>
      </c>
      <c r="W30" s="220">
        <f t="shared" si="10"/>
        <v>1718</v>
      </c>
      <c r="X30" s="221">
        <f t="shared" si="11"/>
        <v>2160</v>
      </c>
      <c r="Y30" s="222">
        <f t="shared" si="12"/>
        <v>3119</v>
      </c>
      <c r="Z30" s="219">
        <f t="shared" si="13"/>
        <v>1315</v>
      </c>
      <c r="AA30" s="220">
        <f t="shared" si="14"/>
        <v>1900</v>
      </c>
      <c r="AB30" s="221">
        <f t="shared" si="15"/>
        <v>2398</v>
      </c>
      <c r="AC30" s="222">
        <f t="shared" si="16"/>
        <v>3434</v>
      </c>
      <c r="AD30" s="219">
        <f t="shared" si="17"/>
        <v>1809</v>
      </c>
      <c r="AE30" s="220">
        <f t="shared" si="18"/>
        <v>2610</v>
      </c>
      <c r="AF30" s="221">
        <f t="shared" si="19"/>
        <v>3214</v>
      </c>
      <c r="AG30" s="222">
        <f t="shared" si="20"/>
        <v>4509</v>
      </c>
      <c r="AH30" s="218">
        <v>1400</v>
      </c>
      <c r="AI30" s="219">
        <f t="shared" si="21"/>
        <v>1813</v>
      </c>
      <c r="AJ30" s="220">
        <f t="shared" si="22"/>
        <v>2276</v>
      </c>
      <c r="AK30" s="223">
        <f t="shared" si="23"/>
        <v>3188</v>
      </c>
      <c r="AL30" s="224">
        <f t="shared" si="24"/>
        <v>2733</v>
      </c>
      <c r="AM30" s="225">
        <f t="shared" si="25"/>
        <v>3307</v>
      </c>
      <c r="AN30" s="222">
        <f t="shared" si="26"/>
        <v>4623</v>
      </c>
      <c r="AO30" s="412"/>
      <c r="AP30" s="412"/>
      <c r="AQ30" s="184"/>
      <c r="AR30" s="184"/>
      <c r="AS30" s="184"/>
      <c r="AT30" s="184"/>
      <c r="AU30" s="184"/>
      <c r="AV30" s="184"/>
      <c r="AW30" s="184"/>
      <c r="AX30" s="184"/>
      <c r="AY30" s="184"/>
      <c r="AZ30" s="18"/>
    </row>
    <row r="31" spans="1:52" ht="12.75">
      <c r="A31" s="74" t="s">
        <v>25</v>
      </c>
      <c r="B31" s="174"/>
      <c r="C31" s="174"/>
      <c r="D31" s="168">
        <v>1.3318</v>
      </c>
      <c r="E31" s="76">
        <v>1292</v>
      </c>
      <c r="F31" s="77">
        <f>POWER(I12,D31)</f>
        <v>1</v>
      </c>
      <c r="G31" s="151">
        <f t="shared" si="0"/>
        <v>1292</v>
      </c>
      <c r="H31" s="156"/>
      <c r="I31" s="74"/>
      <c r="J31" s="74"/>
      <c r="K31" s="177"/>
      <c r="L31" s="74"/>
      <c r="M31" s="226">
        <v>1600</v>
      </c>
      <c r="N31" s="224">
        <f t="shared" si="1"/>
        <v>904</v>
      </c>
      <c r="O31" s="221">
        <f t="shared" si="2"/>
        <v>1341</v>
      </c>
      <c r="P31" s="220">
        <f t="shared" si="3"/>
        <v>1752</v>
      </c>
      <c r="Q31" s="223">
        <f t="shared" si="4"/>
        <v>2498</v>
      </c>
      <c r="R31" s="224">
        <f t="shared" si="5"/>
        <v>1133</v>
      </c>
      <c r="S31" s="221">
        <f t="shared" si="6"/>
        <v>1675</v>
      </c>
      <c r="T31" s="220">
        <f t="shared" si="7"/>
        <v>2171</v>
      </c>
      <c r="U31" s="223">
        <f t="shared" si="8"/>
        <v>3098</v>
      </c>
      <c r="V31" s="224">
        <f t="shared" si="9"/>
        <v>1349</v>
      </c>
      <c r="W31" s="221">
        <f t="shared" si="10"/>
        <v>1963</v>
      </c>
      <c r="X31" s="220">
        <f t="shared" si="11"/>
        <v>2469</v>
      </c>
      <c r="Y31" s="223">
        <f t="shared" si="12"/>
        <v>3565</v>
      </c>
      <c r="Z31" s="224">
        <f t="shared" si="13"/>
        <v>1502</v>
      </c>
      <c r="AA31" s="221">
        <f t="shared" si="14"/>
        <v>2171</v>
      </c>
      <c r="AB31" s="220">
        <f t="shared" si="15"/>
        <v>2741</v>
      </c>
      <c r="AC31" s="223">
        <f t="shared" si="16"/>
        <v>3925</v>
      </c>
      <c r="AD31" s="224">
        <f t="shared" si="17"/>
        <v>2067</v>
      </c>
      <c r="AE31" s="221">
        <f t="shared" si="18"/>
        <v>2982</v>
      </c>
      <c r="AF31" s="220">
        <f t="shared" si="19"/>
        <v>3674</v>
      </c>
      <c r="AG31" s="223">
        <f t="shared" si="20"/>
        <v>5154</v>
      </c>
      <c r="AH31" s="226">
        <v>1600</v>
      </c>
      <c r="AI31" s="224">
        <f t="shared" si="21"/>
        <v>2072</v>
      </c>
      <c r="AJ31" s="221">
        <f t="shared" si="22"/>
        <v>2602</v>
      </c>
      <c r="AK31" s="222">
        <f t="shared" si="23"/>
        <v>3643</v>
      </c>
      <c r="AL31" s="227">
        <f t="shared" si="24"/>
        <v>3123</v>
      </c>
      <c r="AM31" s="220">
        <f t="shared" si="25"/>
        <v>3779</v>
      </c>
      <c r="AN31" s="228">
        <f t="shared" si="26"/>
        <v>5283</v>
      </c>
      <c r="AO31" s="413"/>
      <c r="AP31" s="413"/>
      <c r="AQ31" s="184"/>
      <c r="AR31" s="184"/>
      <c r="AS31" s="184"/>
      <c r="AT31" s="184"/>
      <c r="AU31" s="184"/>
      <c r="AV31" s="184"/>
      <c r="AW31" s="184"/>
      <c r="AX31" s="184"/>
      <c r="AY31" s="184"/>
      <c r="AZ31" s="18"/>
    </row>
    <row r="32" spans="1:52" ht="12.75">
      <c r="A32" s="152" t="s">
        <v>26</v>
      </c>
      <c r="B32" s="200"/>
      <c r="C32" s="174"/>
      <c r="D32" s="169">
        <v>1.285</v>
      </c>
      <c r="E32" s="153">
        <v>591</v>
      </c>
      <c r="F32" s="154">
        <f>POWER(I12,D32)</f>
        <v>1</v>
      </c>
      <c r="G32" s="155">
        <f t="shared" si="0"/>
        <v>591</v>
      </c>
      <c r="H32" s="156"/>
      <c r="I32" s="74"/>
      <c r="J32" s="74"/>
      <c r="K32" s="177"/>
      <c r="L32" s="74"/>
      <c r="M32" s="218">
        <v>1800</v>
      </c>
      <c r="N32" s="219">
        <f t="shared" si="1"/>
        <v>1017</v>
      </c>
      <c r="O32" s="220">
        <f t="shared" si="2"/>
        <v>1508</v>
      </c>
      <c r="P32" s="221">
        <f t="shared" si="3"/>
        <v>1971</v>
      </c>
      <c r="Q32" s="222">
        <f t="shared" si="4"/>
        <v>2810</v>
      </c>
      <c r="R32" s="219">
        <f t="shared" si="5"/>
        <v>1274</v>
      </c>
      <c r="S32" s="220">
        <f t="shared" si="6"/>
        <v>1885</v>
      </c>
      <c r="T32" s="221">
        <f t="shared" si="7"/>
        <v>2443</v>
      </c>
      <c r="U32" s="222">
        <f t="shared" si="8"/>
        <v>3485</v>
      </c>
      <c r="V32" s="219">
        <f t="shared" si="9"/>
        <v>1517</v>
      </c>
      <c r="W32" s="220">
        <f t="shared" si="10"/>
        <v>2209</v>
      </c>
      <c r="X32" s="221">
        <f t="shared" si="11"/>
        <v>2777</v>
      </c>
      <c r="Y32" s="222">
        <f t="shared" si="12"/>
        <v>4010</v>
      </c>
      <c r="Z32" s="219">
        <f t="shared" si="13"/>
        <v>1690</v>
      </c>
      <c r="AA32" s="220">
        <f t="shared" si="14"/>
        <v>2443</v>
      </c>
      <c r="AB32" s="221">
        <f t="shared" si="15"/>
        <v>3083</v>
      </c>
      <c r="AC32" s="222">
        <f t="shared" si="16"/>
        <v>4415</v>
      </c>
      <c r="AD32" s="219">
        <f t="shared" si="17"/>
        <v>2326</v>
      </c>
      <c r="AE32" s="220">
        <f t="shared" si="18"/>
        <v>3355</v>
      </c>
      <c r="AF32" s="221">
        <f t="shared" si="19"/>
        <v>4133</v>
      </c>
      <c r="AG32" s="222">
        <f t="shared" si="20"/>
        <v>5798</v>
      </c>
      <c r="AH32" s="218">
        <v>1800</v>
      </c>
      <c r="AI32" s="219">
        <f t="shared" si="21"/>
        <v>2331</v>
      </c>
      <c r="AJ32" s="220">
        <f t="shared" si="22"/>
        <v>2927</v>
      </c>
      <c r="AK32" s="223">
        <f t="shared" si="23"/>
        <v>4099</v>
      </c>
      <c r="AL32" s="224">
        <f t="shared" si="24"/>
        <v>3514</v>
      </c>
      <c r="AM32" s="225">
        <f t="shared" si="25"/>
        <v>4252</v>
      </c>
      <c r="AN32" s="222">
        <f t="shared" si="26"/>
        <v>5944</v>
      </c>
      <c r="AO32" s="413"/>
      <c r="AP32" s="413"/>
      <c r="AQ32" s="184"/>
      <c r="AR32" s="184"/>
      <c r="AS32" s="184"/>
      <c r="AT32" s="184"/>
      <c r="AU32" s="184"/>
      <c r="AV32" s="184"/>
      <c r="AW32" s="184"/>
      <c r="AX32" s="184"/>
      <c r="AY32" s="184"/>
      <c r="AZ32" s="18"/>
    </row>
    <row r="33" spans="1:52" ht="12.75">
      <c r="A33" s="152" t="s">
        <v>27</v>
      </c>
      <c r="B33" s="174"/>
      <c r="C33" s="174"/>
      <c r="D33" s="169">
        <v>1.29</v>
      </c>
      <c r="E33" s="153">
        <v>736</v>
      </c>
      <c r="F33" s="154">
        <f>POWER(I12,D33)</f>
        <v>1</v>
      </c>
      <c r="G33" s="155">
        <f t="shared" si="0"/>
        <v>736</v>
      </c>
      <c r="H33" s="156"/>
      <c r="M33" s="226">
        <v>2000</v>
      </c>
      <c r="N33" s="224">
        <f t="shared" si="1"/>
        <v>1130</v>
      </c>
      <c r="O33" s="221">
        <f t="shared" si="2"/>
        <v>1676</v>
      </c>
      <c r="P33" s="220">
        <f t="shared" si="3"/>
        <v>2190</v>
      </c>
      <c r="Q33" s="223">
        <f t="shared" si="4"/>
        <v>3122</v>
      </c>
      <c r="R33" s="224">
        <f t="shared" si="5"/>
        <v>1416</v>
      </c>
      <c r="S33" s="221">
        <f t="shared" si="6"/>
        <v>2094</v>
      </c>
      <c r="T33" s="220">
        <f t="shared" si="7"/>
        <v>2714</v>
      </c>
      <c r="U33" s="223">
        <f t="shared" si="8"/>
        <v>3872</v>
      </c>
      <c r="V33" s="224">
        <f t="shared" si="9"/>
        <v>1686</v>
      </c>
      <c r="W33" s="221">
        <f t="shared" si="10"/>
        <v>2454</v>
      </c>
      <c r="X33" s="220">
        <f t="shared" si="11"/>
        <v>3086</v>
      </c>
      <c r="Y33" s="223">
        <f t="shared" si="12"/>
        <v>4456</v>
      </c>
      <c r="Z33" s="224">
        <f t="shared" si="13"/>
        <v>1878</v>
      </c>
      <c r="AA33" s="221">
        <f t="shared" si="14"/>
        <v>2714</v>
      </c>
      <c r="AB33" s="220">
        <f t="shared" si="15"/>
        <v>3426</v>
      </c>
      <c r="AC33" s="223">
        <f t="shared" si="16"/>
        <v>4906</v>
      </c>
      <c r="AD33" s="224">
        <f t="shared" si="17"/>
        <v>2584</v>
      </c>
      <c r="AE33" s="221">
        <f t="shared" si="18"/>
        <v>3728</v>
      </c>
      <c r="AF33" s="220">
        <f t="shared" si="19"/>
        <v>4592</v>
      </c>
      <c r="AG33" s="223">
        <f t="shared" si="20"/>
        <v>6442</v>
      </c>
      <c r="AH33" s="226">
        <v>2000</v>
      </c>
      <c r="AI33" s="224">
        <f t="shared" si="21"/>
        <v>2590</v>
      </c>
      <c r="AJ33" s="221">
        <f t="shared" si="22"/>
        <v>3252</v>
      </c>
      <c r="AK33" s="222">
        <f t="shared" si="23"/>
        <v>4554</v>
      </c>
      <c r="AL33" s="227">
        <f t="shared" si="24"/>
        <v>3904</v>
      </c>
      <c r="AM33" s="220">
        <f t="shared" si="25"/>
        <v>4724</v>
      </c>
      <c r="AN33" s="228">
        <f t="shared" si="26"/>
        <v>6604</v>
      </c>
      <c r="AO33" s="413"/>
      <c r="AP33" s="413"/>
      <c r="AQ33" s="184"/>
      <c r="AR33" s="184"/>
      <c r="AS33" s="184"/>
      <c r="AT33" s="184"/>
      <c r="AU33" s="184"/>
      <c r="AV33" s="184"/>
      <c r="AW33" s="184"/>
      <c r="AX33" s="184"/>
      <c r="AY33" s="184"/>
      <c r="AZ33" s="10"/>
    </row>
    <row r="34" spans="1:52" ht="12.75">
      <c r="A34" s="152" t="s">
        <v>28</v>
      </c>
      <c r="B34" s="200"/>
      <c r="C34" s="174"/>
      <c r="D34" s="169">
        <v>1.295</v>
      </c>
      <c r="E34" s="153">
        <v>876</v>
      </c>
      <c r="F34" s="154">
        <f>POWER(I12,D34)</f>
        <v>1</v>
      </c>
      <c r="G34" s="155">
        <f t="shared" si="0"/>
        <v>876</v>
      </c>
      <c r="H34" s="156"/>
      <c r="M34" s="218">
        <v>2200</v>
      </c>
      <c r="N34" s="219">
        <f t="shared" si="1"/>
        <v>1243</v>
      </c>
      <c r="O34" s="220">
        <f t="shared" si="2"/>
        <v>1844</v>
      </c>
      <c r="P34" s="221">
        <f t="shared" si="3"/>
        <v>2409</v>
      </c>
      <c r="Q34" s="222">
        <f t="shared" si="4"/>
        <v>3434</v>
      </c>
      <c r="R34" s="219">
        <f t="shared" si="5"/>
        <v>1558</v>
      </c>
      <c r="S34" s="220">
        <f t="shared" si="6"/>
        <v>2303</v>
      </c>
      <c r="T34" s="221">
        <f t="shared" si="7"/>
        <v>2985</v>
      </c>
      <c r="U34" s="222">
        <f t="shared" si="8"/>
        <v>4259</v>
      </c>
      <c r="V34" s="219">
        <f t="shared" si="9"/>
        <v>1855</v>
      </c>
      <c r="W34" s="220">
        <f t="shared" si="10"/>
        <v>2699</v>
      </c>
      <c r="X34" s="221">
        <f t="shared" si="11"/>
        <v>3395</v>
      </c>
      <c r="Y34" s="222">
        <f t="shared" si="12"/>
        <v>4902</v>
      </c>
      <c r="Z34" s="219">
        <f t="shared" si="13"/>
        <v>2066</v>
      </c>
      <c r="AA34" s="220">
        <f t="shared" si="14"/>
        <v>2985</v>
      </c>
      <c r="AB34" s="221">
        <f t="shared" si="15"/>
        <v>3769</v>
      </c>
      <c r="AC34" s="222">
        <f t="shared" si="16"/>
        <v>5397</v>
      </c>
      <c r="AD34" s="219">
        <f t="shared" si="17"/>
        <v>2842</v>
      </c>
      <c r="AE34" s="220">
        <f t="shared" si="18"/>
        <v>4101</v>
      </c>
      <c r="AF34" s="221">
        <f t="shared" si="19"/>
        <v>5051</v>
      </c>
      <c r="AG34" s="222">
        <f t="shared" si="20"/>
        <v>7086</v>
      </c>
      <c r="AH34" s="218">
        <v>2200</v>
      </c>
      <c r="AI34" s="219">
        <f t="shared" si="21"/>
        <v>2849</v>
      </c>
      <c r="AJ34" s="220">
        <f t="shared" si="22"/>
        <v>3577</v>
      </c>
      <c r="AK34" s="223">
        <f t="shared" si="23"/>
        <v>5009</v>
      </c>
      <c r="AL34" s="224">
        <f t="shared" si="24"/>
        <v>4294</v>
      </c>
      <c r="AM34" s="225">
        <f t="shared" si="25"/>
        <v>5196</v>
      </c>
      <c r="AN34" s="222">
        <f t="shared" si="26"/>
        <v>7264</v>
      </c>
      <c r="AO34" s="413"/>
      <c r="AP34" s="413"/>
      <c r="AQ34" s="184"/>
      <c r="AR34" s="184"/>
      <c r="AS34" s="184"/>
      <c r="AT34" s="184"/>
      <c r="AU34" s="184"/>
      <c r="AV34" s="184"/>
      <c r="AW34" s="184"/>
      <c r="AX34" s="184"/>
      <c r="AY34" s="184"/>
      <c r="AZ34" s="10"/>
    </row>
    <row r="35" spans="1:52" ht="12.75">
      <c r="A35" s="152" t="s">
        <v>51</v>
      </c>
      <c r="B35" s="174"/>
      <c r="C35" s="174"/>
      <c r="D35" s="169">
        <v>1.2977</v>
      </c>
      <c r="E35" s="153">
        <v>950</v>
      </c>
      <c r="F35" s="154">
        <f>POWER(I12,D35)</f>
        <v>1</v>
      </c>
      <c r="G35" s="155">
        <f t="shared" si="0"/>
        <v>950</v>
      </c>
      <c r="H35" s="156"/>
      <c r="M35" s="226">
        <v>2400</v>
      </c>
      <c r="N35" s="224">
        <f t="shared" si="1"/>
        <v>1356</v>
      </c>
      <c r="O35" s="221">
        <f t="shared" si="2"/>
        <v>2011</v>
      </c>
      <c r="P35" s="220">
        <f t="shared" si="3"/>
        <v>2628</v>
      </c>
      <c r="Q35" s="223">
        <f t="shared" si="4"/>
        <v>3746</v>
      </c>
      <c r="R35" s="224">
        <f t="shared" si="5"/>
        <v>1699</v>
      </c>
      <c r="S35" s="221">
        <f t="shared" si="6"/>
        <v>2513</v>
      </c>
      <c r="T35" s="220">
        <f t="shared" si="7"/>
        <v>3257</v>
      </c>
      <c r="U35" s="223">
        <f t="shared" si="8"/>
        <v>4646</v>
      </c>
      <c r="V35" s="224">
        <f t="shared" si="9"/>
        <v>2023</v>
      </c>
      <c r="W35" s="221">
        <f t="shared" si="10"/>
        <v>2945</v>
      </c>
      <c r="X35" s="220">
        <f t="shared" si="11"/>
        <v>3703</v>
      </c>
      <c r="Y35" s="223">
        <f t="shared" si="12"/>
        <v>5347</v>
      </c>
      <c r="Z35" s="224">
        <f t="shared" si="13"/>
        <v>2254</v>
      </c>
      <c r="AA35" s="221">
        <f t="shared" si="14"/>
        <v>3257</v>
      </c>
      <c r="AB35" s="220">
        <f t="shared" si="15"/>
        <v>4111</v>
      </c>
      <c r="AC35" s="223">
        <f t="shared" si="16"/>
        <v>5887</v>
      </c>
      <c r="AD35" s="224">
        <f t="shared" si="17"/>
        <v>3101</v>
      </c>
      <c r="AE35" s="221">
        <f t="shared" si="18"/>
        <v>4474</v>
      </c>
      <c r="AF35" s="220">
        <f t="shared" si="19"/>
        <v>5510</v>
      </c>
      <c r="AG35" s="223">
        <f t="shared" si="20"/>
        <v>7730</v>
      </c>
      <c r="AH35" s="226">
        <v>2400</v>
      </c>
      <c r="AI35" s="224">
        <f t="shared" si="21"/>
        <v>3108</v>
      </c>
      <c r="AJ35" s="221">
        <f t="shared" si="22"/>
        <v>3902</v>
      </c>
      <c r="AK35" s="222">
        <f t="shared" si="23"/>
        <v>5465</v>
      </c>
      <c r="AL35" s="227">
        <f t="shared" si="24"/>
        <v>4685</v>
      </c>
      <c r="AM35" s="220">
        <f t="shared" si="25"/>
        <v>5669</v>
      </c>
      <c r="AN35" s="228">
        <f t="shared" si="26"/>
        <v>7925</v>
      </c>
      <c r="AO35" s="413"/>
      <c r="AP35" s="413"/>
      <c r="AQ35" s="184"/>
      <c r="AR35" s="184"/>
      <c r="AS35" s="184"/>
      <c r="AT35" s="184"/>
      <c r="AU35" s="184"/>
      <c r="AV35" s="184"/>
      <c r="AW35" s="184"/>
      <c r="AX35" s="184"/>
      <c r="AY35" s="184"/>
      <c r="AZ35" s="10"/>
    </row>
    <row r="36" spans="1:52" ht="12.75">
      <c r="A36" s="152" t="s">
        <v>29</v>
      </c>
      <c r="B36" s="174"/>
      <c r="C36" s="174"/>
      <c r="D36" s="169">
        <v>1.3</v>
      </c>
      <c r="E36" s="153">
        <v>1013</v>
      </c>
      <c r="F36" s="154">
        <f>POWER(I12,D36)</f>
        <v>1</v>
      </c>
      <c r="G36" s="155">
        <f t="shared" si="0"/>
        <v>1013</v>
      </c>
      <c r="H36" s="156"/>
      <c r="M36" s="218">
        <v>2600</v>
      </c>
      <c r="N36" s="219">
        <f t="shared" si="1"/>
        <v>1469</v>
      </c>
      <c r="O36" s="220">
        <f t="shared" si="2"/>
        <v>2179</v>
      </c>
      <c r="P36" s="221">
        <f t="shared" si="3"/>
        <v>2847</v>
      </c>
      <c r="Q36" s="222">
        <f t="shared" si="4"/>
        <v>4059</v>
      </c>
      <c r="R36" s="219">
        <f t="shared" si="5"/>
        <v>1841</v>
      </c>
      <c r="S36" s="220">
        <f t="shared" si="6"/>
        <v>2722</v>
      </c>
      <c r="T36" s="221">
        <f t="shared" si="7"/>
        <v>3528</v>
      </c>
      <c r="U36" s="222">
        <f t="shared" si="8"/>
        <v>5034</v>
      </c>
      <c r="V36" s="219">
        <f t="shared" si="9"/>
        <v>2192</v>
      </c>
      <c r="W36" s="220">
        <f t="shared" si="10"/>
        <v>3190</v>
      </c>
      <c r="X36" s="221">
        <f t="shared" si="11"/>
        <v>4012</v>
      </c>
      <c r="Y36" s="222">
        <f t="shared" si="12"/>
        <v>5793</v>
      </c>
      <c r="Z36" s="219">
        <f t="shared" si="13"/>
        <v>2441</v>
      </c>
      <c r="AA36" s="220">
        <f t="shared" si="14"/>
        <v>3528</v>
      </c>
      <c r="AB36" s="221">
        <f t="shared" si="15"/>
        <v>4454</v>
      </c>
      <c r="AC36" s="222">
        <f t="shared" si="16"/>
        <v>6378</v>
      </c>
      <c r="AD36" s="219">
        <f t="shared" si="17"/>
        <v>3359</v>
      </c>
      <c r="AE36" s="220">
        <f t="shared" si="18"/>
        <v>4846</v>
      </c>
      <c r="AF36" s="221">
        <f t="shared" si="19"/>
        <v>5970</v>
      </c>
      <c r="AG36" s="222">
        <f t="shared" si="20"/>
        <v>8375</v>
      </c>
      <c r="AH36" s="218">
        <v>2600</v>
      </c>
      <c r="AI36" s="219">
        <f t="shared" si="21"/>
        <v>3367</v>
      </c>
      <c r="AJ36" s="220">
        <f t="shared" si="22"/>
        <v>4228</v>
      </c>
      <c r="AK36" s="223">
        <f t="shared" si="23"/>
        <v>5920</v>
      </c>
      <c r="AL36" s="224">
        <f t="shared" si="24"/>
        <v>5075</v>
      </c>
      <c r="AM36" s="225">
        <f t="shared" si="25"/>
        <v>6141</v>
      </c>
      <c r="AN36" s="222">
        <f t="shared" si="26"/>
        <v>8585</v>
      </c>
      <c r="AO36" s="413"/>
      <c r="AP36" s="413"/>
      <c r="AQ36" s="184"/>
      <c r="AR36" s="184"/>
      <c r="AS36" s="184"/>
      <c r="AT36" s="184"/>
      <c r="AU36" s="184"/>
      <c r="AV36" s="184"/>
      <c r="AW36" s="184"/>
      <c r="AX36" s="184"/>
      <c r="AY36" s="184"/>
      <c r="AZ36" s="10"/>
    </row>
    <row r="37" spans="1:52" ht="12.75">
      <c r="A37" s="152" t="s">
        <v>52</v>
      </c>
      <c r="B37" s="174"/>
      <c r="C37" s="174"/>
      <c r="D37" s="169">
        <v>1.3105</v>
      </c>
      <c r="E37" s="153">
        <v>1216</v>
      </c>
      <c r="F37" s="154">
        <f>POWER(I12,D37)</f>
        <v>1</v>
      </c>
      <c r="G37" s="155">
        <f t="shared" si="0"/>
        <v>1216</v>
      </c>
      <c r="H37" s="156"/>
      <c r="M37" s="226">
        <v>2800</v>
      </c>
      <c r="N37" s="224">
        <f t="shared" si="1"/>
        <v>1582</v>
      </c>
      <c r="O37" s="221">
        <f t="shared" si="2"/>
        <v>2346</v>
      </c>
      <c r="P37" s="220">
        <f t="shared" si="3"/>
        <v>3066</v>
      </c>
      <c r="Q37" s="223">
        <f t="shared" si="4"/>
        <v>4371</v>
      </c>
      <c r="R37" s="224">
        <f t="shared" si="5"/>
        <v>1982</v>
      </c>
      <c r="S37" s="221">
        <f t="shared" si="6"/>
        <v>2932</v>
      </c>
      <c r="T37" s="220">
        <f t="shared" si="7"/>
        <v>3800</v>
      </c>
      <c r="U37" s="223">
        <f t="shared" si="8"/>
        <v>5421</v>
      </c>
      <c r="V37" s="224">
        <f t="shared" si="9"/>
        <v>2360</v>
      </c>
      <c r="W37" s="221">
        <f t="shared" si="10"/>
        <v>3436</v>
      </c>
      <c r="X37" s="220">
        <f t="shared" si="11"/>
        <v>4320</v>
      </c>
      <c r="Y37" s="223">
        <f t="shared" si="12"/>
        <v>6238</v>
      </c>
      <c r="Z37" s="224">
        <f t="shared" si="13"/>
        <v>2629</v>
      </c>
      <c r="AA37" s="221">
        <f t="shared" si="14"/>
        <v>3800</v>
      </c>
      <c r="AB37" s="220">
        <f t="shared" si="15"/>
        <v>4796</v>
      </c>
      <c r="AC37" s="223">
        <f t="shared" si="16"/>
        <v>6868</v>
      </c>
      <c r="AD37" s="224">
        <f t="shared" si="17"/>
        <v>3618</v>
      </c>
      <c r="AE37" s="221">
        <f t="shared" si="18"/>
        <v>5219</v>
      </c>
      <c r="AF37" s="220">
        <f t="shared" si="19"/>
        <v>6429</v>
      </c>
      <c r="AG37" s="223">
        <f t="shared" si="20"/>
        <v>9019</v>
      </c>
      <c r="AH37" s="226">
        <v>2800</v>
      </c>
      <c r="AI37" s="224">
        <f t="shared" si="21"/>
        <v>3626</v>
      </c>
      <c r="AJ37" s="221">
        <f t="shared" si="22"/>
        <v>4553</v>
      </c>
      <c r="AK37" s="222">
        <f t="shared" si="23"/>
        <v>6376</v>
      </c>
      <c r="AL37" s="227">
        <f t="shared" si="24"/>
        <v>5466</v>
      </c>
      <c r="AM37" s="220">
        <f t="shared" si="25"/>
        <v>6614</v>
      </c>
      <c r="AN37" s="228">
        <f t="shared" si="26"/>
        <v>9246</v>
      </c>
      <c r="AO37" s="413"/>
      <c r="AP37" s="413"/>
      <c r="AQ37" s="184"/>
      <c r="AR37" s="184"/>
      <c r="AS37" s="184"/>
      <c r="AT37" s="184"/>
      <c r="AU37" s="184"/>
      <c r="AV37" s="184"/>
      <c r="AW37" s="184"/>
      <c r="AX37" s="184"/>
      <c r="AY37" s="184"/>
      <c r="AZ37" s="10"/>
    </row>
    <row r="38" spans="1:52" ht="12.75">
      <c r="A38" s="152" t="s">
        <v>30</v>
      </c>
      <c r="B38" s="174"/>
      <c r="C38" s="174"/>
      <c r="D38" s="169">
        <v>1.3209</v>
      </c>
      <c r="E38" s="153">
        <v>1419</v>
      </c>
      <c r="F38" s="154">
        <f>POWER(I12,D38)</f>
        <v>1</v>
      </c>
      <c r="G38" s="155">
        <f t="shared" si="0"/>
        <v>1419</v>
      </c>
      <c r="H38" s="156"/>
      <c r="M38" s="218">
        <v>3000</v>
      </c>
      <c r="N38" s="219">
        <f t="shared" si="1"/>
        <v>1695</v>
      </c>
      <c r="O38" s="220">
        <f t="shared" si="2"/>
        <v>2514</v>
      </c>
      <c r="P38" s="221">
        <f t="shared" si="3"/>
        <v>3285</v>
      </c>
      <c r="Q38" s="222">
        <f t="shared" si="4"/>
        <v>4683</v>
      </c>
      <c r="R38" s="219">
        <f t="shared" si="5"/>
        <v>2124</v>
      </c>
      <c r="S38" s="220">
        <f t="shared" si="6"/>
        <v>3141</v>
      </c>
      <c r="T38" s="221">
        <f t="shared" si="7"/>
        <v>4071</v>
      </c>
      <c r="U38" s="222">
        <f t="shared" si="8"/>
        <v>5808</v>
      </c>
      <c r="V38" s="219">
        <f t="shared" si="9"/>
        <v>2529</v>
      </c>
      <c r="W38" s="220">
        <f t="shared" si="10"/>
        <v>3681</v>
      </c>
      <c r="X38" s="221">
        <f t="shared" si="11"/>
        <v>4629</v>
      </c>
      <c r="Y38" s="222">
        <f t="shared" si="12"/>
        <v>6684</v>
      </c>
      <c r="Z38" s="219">
        <f t="shared" si="13"/>
        <v>2817</v>
      </c>
      <c r="AA38" s="220">
        <f t="shared" si="14"/>
        <v>4071</v>
      </c>
      <c r="AB38" s="221">
        <f t="shared" si="15"/>
        <v>5139</v>
      </c>
      <c r="AC38" s="222">
        <f t="shared" si="16"/>
        <v>7359</v>
      </c>
      <c r="AD38" s="219">
        <f t="shared" si="17"/>
        <v>3876</v>
      </c>
      <c r="AE38" s="220">
        <f t="shared" si="18"/>
        <v>5592</v>
      </c>
      <c r="AF38" s="221">
        <f t="shared" si="19"/>
        <v>6888</v>
      </c>
      <c r="AG38" s="222">
        <f t="shared" si="20"/>
        <v>9663</v>
      </c>
      <c r="AH38" s="218">
        <v>3000</v>
      </c>
      <c r="AI38" s="219">
        <f t="shared" si="21"/>
        <v>3885</v>
      </c>
      <c r="AJ38" s="220">
        <f t="shared" si="22"/>
        <v>4878</v>
      </c>
      <c r="AK38" s="223">
        <f t="shared" si="23"/>
        <v>6831</v>
      </c>
      <c r="AL38" s="224">
        <f t="shared" si="24"/>
        <v>5856</v>
      </c>
      <c r="AM38" s="225">
        <f t="shared" si="25"/>
        <v>7086</v>
      </c>
      <c r="AN38" s="222">
        <f t="shared" si="26"/>
        <v>9906</v>
      </c>
      <c r="AO38" s="413"/>
      <c r="AP38" s="413"/>
      <c r="AQ38" s="184"/>
      <c r="AR38" s="184"/>
      <c r="AS38" s="184"/>
      <c r="AT38" s="184"/>
      <c r="AU38" s="184"/>
      <c r="AV38" s="184"/>
      <c r="AW38" s="184"/>
      <c r="AX38" s="184"/>
      <c r="AY38" s="184"/>
      <c r="AZ38" s="10"/>
    </row>
    <row r="39" spans="1:52" ht="13.5" thickBot="1">
      <c r="A39" s="74" t="s">
        <v>31</v>
      </c>
      <c r="B39" s="174"/>
      <c r="C39" s="174"/>
      <c r="D39" s="168">
        <v>1.327</v>
      </c>
      <c r="E39" s="76">
        <v>838</v>
      </c>
      <c r="F39" s="77">
        <f>POWER(I12,D39)</f>
        <v>1</v>
      </c>
      <c r="G39" s="151">
        <f t="shared" si="0"/>
        <v>838</v>
      </c>
      <c r="H39" s="156"/>
      <c r="M39" s="394" t="s">
        <v>96</v>
      </c>
      <c r="N39" s="229">
        <f>ROUND(n_11K_300,3)</f>
        <v>1.33</v>
      </c>
      <c r="O39" s="230">
        <f>ROUND(n_21K_300,3)</f>
        <v>1.327</v>
      </c>
      <c r="P39" s="230">
        <f>ROUND(n_22K_300,3)</f>
        <v>1.329</v>
      </c>
      <c r="Q39" s="231">
        <f>ROUND(n_33K_300,3)</f>
        <v>1.331</v>
      </c>
      <c r="R39" s="229">
        <f>ROUND(n_11K_400,3)</f>
        <v>1.342</v>
      </c>
      <c r="S39" s="230">
        <f>ROUND(n_21K_400,3)</f>
        <v>1.334</v>
      </c>
      <c r="T39" s="230">
        <f>ROUND(n_22K_400,3)</f>
        <v>1.353</v>
      </c>
      <c r="U39" s="231">
        <f>ROUND(n_33K_400,3)</f>
        <v>1.357</v>
      </c>
      <c r="V39" s="229">
        <f>ROUND(n_11K_500,3)</f>
        <v>1.33</v>
      </c>
      <c r="W39" s="230">
        <f>ROUND(n_21K_500,3)</f>
        <v>1.323</v>
      </c>
      <c r="X39" s="230">
        <f>ROUND(n_22K_500,3)</f>
        <v>1.334</v>
      </c>
      <c r="Y39" s="231">
        <f>ROUND(n_33K_500,3)</f>
        <v>1.351</v>
      </c>
      <c r="Z39" s="229">
        <f>ROUND(n_11K_600,3)</f>
        <v>1.319</v>
      </c>
      <c r="AA39" s="230">
        <f>ROUND(n_21K_600,3)</f>
        <v>1.31</v>
      </c>
      <c r="AB39" s="230">
        <f>ROUND(n_22K_600,3)</f>
        <v>1.343</v>
      </c>
      <c r="AC39" s="231">
        <f>ROUND(n_33K_600,3)</f>
        <v>1.333</v>
      </c>
      <c r="AD39" s="229">
        <f>ROUND(n_11K_900,3)</f>
        <v>1.332</v>
      </c>
      <c r="AE39" s="230">
        <f>ROUND(n_21K_900,3)</f>
        <v>1.321</v>
      </c>
      <c r="AF39" s="230">
        <f>ROUND(n_22K_900,3)</f>
        <v>1.34</v>
      </c>
      <c r="AG39" s="231">
        <f>ROUND(n_33K_900,3)</f>
        <v>1.354</v>
      </c>
      <c r="AH39" s="232" t="str">
        <f>M39</f>
        <v>Exponent n</v>
      </c>
      <c r="AI39" s="229">
        <f>ROUND(n_21K_554,3)</f>
        <v>1.318</v>
      </c>
      <c r="AJ39" s="230">
        <f>ROUND(n_22K_554,3)</f>
        <v>1.336</v>
      </c>
      <c r="AK39" s="231">
        <f>ROUND(n_33K_554,3)</f>
        <v>1.331</v>
      </c>
      <c r="AL39" s="229">
        <f>ROUND(n_21K_954,3)</f>
        <v>1.335</v>
      </c>
      <c r="AM39" s="230">
        <f>ROUND(n_22K_954,3)</f>
        <v>1.345</v>
      </c>
      <c r="AN39" s="231">
        <f>ROUND(n_33K_954,3)</f>
        <v>1.33</v>
      </c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8" ht="12.75">
      <c r="A40" s="74" t="s">
        <v>32</v>
      </c>
      <c r="B40" s="174"/>
      <c r="C40" s="174"/>
      <c r="D40" s="168">
        <v>1.3343</v>
      </c>
      <c r="E40" s="76">
        <v>1047</v>
      </c>
      <c r="F40" s="77">
        <f>POWER(I12,D40)</f>
        <v>1</v>
      </c>
      <c r="G40" s="151">
        <f t="shared" si="0"/>
        <v>1047</v>
      </c>
      <c r="H40" s="156"/>
    </row>
    <row r="41" spans="1:8" ht="12.75">
      <c r="A41" s="74" t="s">
        <v>33</v>
      </c>
      <c r="B41" s="174"/>
      <c r="C41" s="174"/>
      <c r="D41" s="168">
        <v>1.3225</v>
      </c>
      <c r="E41" s="76">
        <v>1227</v>
      </c>
      <c r="F41" s="77">
        <f>POWER(I12,D41)</f>
        <v>1</v>
      </c>
      <c r="G41" s="151">
        <f t="shared" si="0"/>
        <v>1227</v>
      </c>
      <c r="H41" s="156"/>
    </row>
    <row r="42" spans="1:8" ht="12.75">
      <c r="A42" s="74" t="s">
        <v>53</v>
      </c>
      <c r="B42" s="174"/>
      <c r="C42" s="174"/>
      <c r="D42" s="168">
        <v>1.3182</v>
      </c>
      <c r="E42" s="76">
        <v>1295</v>
      </c>
      <c r="F42" s="77">
        <f>POWER(I12,D42)</f>
        <v>1</v>
      </c>
      <c r="G42" s="151">
        <f t="shared" si="0"/>
        <v>1295</v>
      </c>
      <c r="H42" s="156"/>
    </row>
    <row r="43" spans="1:16" ht="12.75">
      <c r="A43" s="74" t="s">
        <v>34</v>
      </c>
      <c r="B43" s="174"/>
      <c r="C43" s="174"/>
      <c r="D43" s="168">
        <v>1.3102</v>
      </c>
      <c r="E43" s="76">
        <v>1357</v>
      </c>
      <c r="F43" s="77">
        <f>POWER(I12,D43)</f>
        <v>1</v>
      </c>
      <c r="G43" s="151">
        <f aca="true" t="shared" si="27" ref="G43:G61">E43*F43*Koeffizient</f>
        <v>1357</v>
      </c>
      <c r="H43" s="156"/>
      <c r="P43" s="22"/>
    </row>
    <row r="44" spans="1:8" ht="12.75">
      <c r="A44" s="74" t="s">
        <v>54</v>
      </c>
      <c r="B44" s="174"/>
      <c r="C44" s="174"/>
      <c r="D44" s="168">
        <v>1.3263</v>
      </c>
      <c r="E44" s="76">
        <v>1633</v>
      </c>
      <c r="F44" s="77">
        <f>POWER(I12,D44)</f>
        <v>1</v>
      </c>
      <c r="G44" s="151">
        <f t="shared" si="27"/>
        <v>1633</v>
      </c>
      <c r="H44" s="156"/>
    </row>
    <row r="45" spans="1:8" ht="12.75">
      <c r="A45" s="74" t="s">
        <v>35</v>
      </c>
      <c r="B45" s="174"/>
      <c r="C45" s="174"/>
      <c r="D45" s="168">
        <v>1.3207</v>
      </c>
      <c r="E45" s="76">
        <v>1864</v>
      </c>
      <c r="F45" s="77">
        <f>POWER(I12,D45)</f>
        <v>1</v>
      </c>
      <c r="G45" s="151">
        <f t="shared" si="27"/>
        <v>1864</v>
      </c>
      <c r="H45" s="156"/>
    </row>
    <row r="46" spans="1:8" ht="12.75">
      <c r="A46" s="74" t="s">
        <v>94</v>
      </c>
      <c r="B46" s="174"/>
      <c r="C46" s="174"/>
      <c r="D46" s="168">
        <v>1.3353</v>
      </c>
      <c r="E46" s="76">
        <v>1952</v>
      </c>
      <c r="F46" s="77">
        <f>POWER(I12,D46)</f>
        <v>1</v>
      </c>
      <c r="G46" s="151">
        <f t="shared" si="27"/>
        <v>1952</v>
      </c>
      <c r="H46" s="156"/>
    </row>
    <row r="47" spans="1:8" ht="12.75">
      <c r="A47" s="152" t="s">
        <v>36</v>
      </c>
      <c r="B47" s="174"/>
      <c r="C47" s="174"/>
      <c r="D47" s="169">
        <v>1.3288</v>
      </c>
      <c r="E47" s="153">
        <v>1095</v>
      </c>
      <c r="F47" s="154">
        <f>POWER(I12,D47)</f>
        <v>1</v>
      </c>
      <c r="G47" s="155">
        <f t="shared" si="27"/>
        <v>1095</v>
      </c>
      <c r="H47" s="156"/>
    </row>
    <row r="48" spans="1:8" ht="12.75">
      <c r="A48" s="152" t="s">
        <v>37</v>
      </c>
      <c r="B48" s="174"/>
      <c r="C48" s="174"/>
      <c r="D48" s="169">
        <v>1.3527</v>
      </c>
      <c r="E48" s="153">
        <v>1357</v>
      </c>
      <c r="F48" s="154">
        <f>POWER(I12,D48)</f>
        <v>1</v>
      </c>
      <c r="G48" s="155">
        <f t="shared" si="27"/>
        <v>1357</v>
      </c>
      <c r="H48" s="156"/>
    </row>
    <row r="49" spans="1:8" ht="12.75">
      <c r="A49" s="152" t="s">
        <v>38</v>
      </c>
      <c r="B49" s="174"/>
      <c r="C49" s="174"/>
      <c r="D49" s="169">
        <v>1.334</v>
      </c>
      <c r="E49" s="153">
        <v>1543</v>
      </c>
      <c r="F49" s="154">
        <f>POWER(I12,D49)</f>
        <v>1</v>
      </c>
      <c r="G49" s="155">
        <f t="shared" si="27"/>
        <v>1543</v>
      </c>
      <c r="H49" s="156"/>
    </row>
    <row r="50" spans="1:8" ht="12.75">
      <c r="A50" s="152" t="s">
        <v>55</v>
      </c>
      <c r="B50" s="174"/>
      <c r="C50" s="174"/>
      <c r="D50" s="169">
        <v>1.3363</v>
      </c>
      <c r="E50" s="153">
        <v>1626</v>
      </c>
      <c r="F50" s="154">
        <f>POWER(I12,D50)</f>
        <v>1</v>
      </c>
      <c r="G50" s="155">
        <f t="shared" si="27"/>
        <v>1626</v>
      </c>
      <c r="H50" s="156"/>
    </row>
    <row r="51" spans="1:11" ht="12.75">
      <c r="A51" s="152" t="s">
        <v>39</v>
      </c>
      <c r="B51" s="174"/>
      <c r="C51" s="174"/>
      <c r="D51" s="169">
        <v>1.3431</v>
      </c>
      <c r="E51" s="153">
        <v>1713</v>
      </c>
      <c r="F51" s="154">
        <f>POWER(I12,D51)</f>
        <v>1</v>
      </c>
      <c r="G51" s="155">
        <f t="shared" si="27"/>
        <v>1713</v>
      </c>
      <c r="H51" s="156"/>
      <c r="I51" s="7"/>
      <c r="J51" s="7"/>
      <c r="K51" s="178"/>
    </row>
    <row r="52" spans="1:8" ht="12.75">
      <c r="A52" s="152" t="s">
        <v>74</v>
      </c>
      <c r="B52" s="174"/>
      <c r="C52" s="174"/>
      <c r="D52" s="169">
        <v>1.356</v>
      </c>
      <c r="E52" s="153">
        <v>2049</v>
      </c>
      <c r="F52" s="154">
        <f>POWER(I12,D52)</f>
        <v>1</v>
      </c>
      <c r="G52" s="155">
        <f t="shared" si="27"/>
        <v>2049</v>
      </c>
      <c r="H52" s="156"/>
    </row>
    <row r="53" spans="1:8" ht="12.75">
      <c r="A53" s="152" t="s">
        <v>40</v>
      </c>
      <c r="B53" s="174"/>
      <c r="C53" s="174"/>
      <c r="D53" s="169">
        <v>1.3398</v>
      </c>
      <c r="E53" s="153">
        <v>2296</v>
      </c>
      <c r="F53" s="154">
        <f>POWER(I12,D53)</f>
        <v>1</v>
      </c>
      <c r="G53" s="155">
        <f t="shared" si="27"/>
        <v>2296</v>
      </c>
      <c r="H53" s="156"/>
    </row>
    <row r="54" spans="1:8" ht="12.75">
      <c r="A54" s="152" t="s">
        <v>75</v>
      </c>
      <c r="B54" s="174"/>
      <c r="C54" s="174"/>
      <c r="D54" s="169">
        <v>1.345</v>
      </c>
      <c r="E54" s="153">
        <v>2362</v>
      </c>
      <c r="F54" s="154">
        <f>POWER(I12,D54)</f>
        <v>1</v>
      </c>
      <c r="G54" s="155">
        <f t="shared" si="27"/>
        <v>2362</v>
      </c>
      <c r="H54" s="156"/>
    </row>
    <row r="55" spans="1:8" ht="12.75">
      <c r="A55" s="74" t="s">
        <v>41</v>
      </c>
      <c r="B55" s="174"/>
      <c r="C55" s="174"/>
      <c r="D55" s="168">
        <v>1.3308</v>
      </c>
      <c r="E55" s="76">
        <v>1561</v>
      </c>
      <c r="F55" s="77">
        <f>POWER(I12,D55)</f>
        <v>1</v>
      </c>
      <c r="G55" s="151">
        <f t="shared" si="27"/>
        <v>1561</v>
      </c>
      <c r="H55" s="156"/>
    </row>
    <row r="56" spans="1:8" ht="12.75">
      <c r="A56" s="74" t="s">
        <v>42</v>
      </c>
      <c r="B56" s="174"/>
      <c r="C56" s="174"/>
      <c r="D56" s="168">
        <v>1.3571</v>
      </c>
      <c r="E56" s="76">
        <v>1936</v>
      </c>
      <c r="F56" s="77">
        <f>POWER(I12,D56)</f>
        <v>1</v>
      </c>
      <c r="G56" s="151">
        <f t="shared" si="27"/>
        <v>1936</v>
      </c>
      <c r="H56" s="156"/>
    </row>
    <row r="57" spans="1:8" ht="12.75">
      <c r="A57" s="74" t="s">
        <v>43</v>
      </c>
      <c r="B57" s="174"/>
      <c r="C57" s="174"/>
      <c r="D57" s="168">
        <v>1.3509</v>
      </c>
      <c r="E57" s="76">
        <v>2228</v>
      </c>
      <c r="F57" s="77">
        <f>POWER(I12,D57)</f>
        <v>1</v>
      </c>
      <c r="G57" s="151">
        <f t="shared" si="27"/>
        <v>2228</v>
      </c>
      <c r="H57" s="156"/>
    </row>
    <row r="58" spans="1:8" ht="12.75">
      <c r="A58" s="74" t="s">
        <v>56</v>
      </c>
      <c r="B58" s="174"/>
      <c r="C58" s="174"/>
      <c r="D58" s="168">
        <v>1.331</v>
      </c>
      <c r="E58" s="76">
        <v>2277</v>
      </c>
      <c r="F58" s="77">
        <f>POWER(I12,D58)</f>
        <v>1</v>
      </c>
      <c r="G58" s="151">
        <f t="shared" si="27"/>
        <v>2277</v>
      </c>
      <c r="H58" s="156"/>
    </row>
    <row r="59" spans="1:8" ht="12.75">
      <c r="A59" s="74" t="s">
        <v>44</v>
      </c>
      <c r="B59" s="174"/>
      <c r="C59" s="174"/>
      <c r="D59" s="168">
        <v>1.3328</v>
      </c>
      <c r="E59" s="76">
        <v>2453</v>
      </c>
      <c r="F59" s="77">
        <f>POWER(I12,D59)</f>
        <v>1</v>
      </c>
      <c r="G59" s="151">
        <f t="shared" si="27"/>
        <v>2453</v>
      </c>
      <c r="H59" s="156"/>
    </row>
    <row r="60" spans="1:8" ht="12.75">
      <c r="A60" s="74" t="s">
        <v>57</v>
      </c>
      <c r="B60" s="174"/>
      <c r="C60" s="174"/>
      <c r="D60" s="168">
        <v>1.3531</v>
      </c>
      <c r="E60" s="76">
        <v>2847</v>
      </c>
      <c r="F60" s="77">
        <f>POWER(I12,D60)</f>
        <v>1</v>
      </c>
      <c r="G60" s="151">
        <f t="shared" si="27"/>
        <v>2847</v>
      </c>
      <c r="H60" s="156"/>
    </row>
    <row r="61" spans="1:9" ht="12.75">
      <c r="A61" s="74" t="s">
        <v>45</v>
      </c>
      <c r="B61" s="174"/>
      <c r="C61" s="174"/>
      <c r="D61" s="168">
        <v>1.3544</v>
      </c>
      <c r="E61" s="76">
        <v>3221</v>
      </c>
      <c r="F61" s="77">
        <f>POWER(I12,D61)</f>
        <v>1</v>
      </c>
      <c r="G61" s="151">
        <f t="shared" si="27"/>
        <v>3221</v>
      </c>
      <c r="H61" s="156"/>
      <c r="I61" s="76"/>
    </row>
    <row r="62" spans="1:8" ht="12.75">
      <c r="A62" s="74" t="s">
        <v>95</v>
      </c>
      <c r="B62" s="174"/>
      <c r="C62" s="174"/>
      <c r="D62" s="168">
        <v>1.33</v>
      </c>
      <c r="E62" s="76">
        <v>3302</v>
      </c>
      <c r="F62" s="77">
        <f>POWER(I12,D62)</f>
        <v>1</v>
      </c>
      <c r="G62" s="151">
        <f>E62*F62*Koeffizient</f>
        <v>3302</v>
      </c>
      <c r="H62" s="156"/>
    </row>
    <row r="63" spans="3:7" ht="12.75">
      <c r="C63" s="37"/>
      <c r="D63" s="163"/>
      <c r="E63" s="37"/>
      <c r="F63" s="37"/>
      <c r="G63" s="37"/>
    </row>
    <row r="64" spans="3:4" ht="12.75">
      <c r="C64" s="10"/>
      <c r="D64" s="170"/>
    </row>
    <row r="70" ht="12.75">
      <c r="H70" s="37"/>
    </row>
    <row r="71" spans="9:12" ht="12.75">
      <c r="I71" s="37"/>
      <c r="J71" s="36"/>
      <c r="L71" s="36"/>
    </row>
    <row r="76" spans="13:33" ht="12.75">
      <c r="M76" s="65"/>
      <c r="N76" s="66"/>
      <c r="O76" s="66"/>
      <c r="P76" s="66"/>
      <c r="Q76" s="66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</row>
    <row r="78" spans="34:235" ht="12.75">
      <c r="AH78" s="67"/>
      <c r="AI78" s="67"/>
      <c r="AJ78" s="67"/>
      <c r="AK78" s="67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</row>
  </sheetData>
  <sheetProtection password="DC1D" sheet="1" objects="1" scenarios="1" selectLockedCells="1"/>
  <mergeCells count="29">
    <mergeCell ref="AO38:AP38"/>
    <mergeCell ref="AO32:AP32"/>
    <mergeCell ref="AO33:AP33"/>
    <mergeCell ref="AO34:AP34"/>
    <mergeCell ref="AO35:AP35"/>
    <mergeCell ref="AO36:AP36"/>
    <mergeCell ref="AO37:AP37"/>
    <mergeCell ref="AO26:AP26"/>
    <mergeCell ref="AO27:AP27"/>
    <mergeCell ref="AO28:AP28"/>
    <mergeCell ref="AO29:AP29"/>
    <mergeCell ref="AO30:AP30"/>
    <mergeCell ref="AO31:AP31"/>
    <mergeCell ref="AO20:AP20"/>
    <mergeCell ref="AO21:AP21"/>
    <mergeCell ref="AO22:AP22"/>
    <mergeCell ref="AO23:AP23"/>
    <mergeCell ref="AO24:AP24"/>
    <mergeCell ref="AO25:AP25"/>
    <mergeCell ref="M14:AG14"/>
    <mergeCell ref="AH14:AY14"/>
    <mergeCell ref="B15:F15"/>
    <mergeCell ref="N17:Q17"/>
    <mergeCell ref="R17:U17"/>
    <mergeCell ref="V17:Y17"/>
    <mergeCell ref="Z17:AC17"/>
    <mergeCell ref="AD17:AG17"/>
    <mergeCell ref="AI17:AK17"/>
    <mergeCell ref="AL17:AN17"/>
  </mergeCells>
  <printOptions horizontalCentered="1"/>
  <pageMargins left="0.31496062992125984" right="0.3937007874015748" top="0.984251968503937" bottom="0.984251968503937" header="0.5118110236220472" footer="0.2362204724409449"/>
  <pageSetup horizontalDpi="300" verticalDpi="300" orientation="landscape" paperSize="9" scale="91" r:id="rId2"/>
  <headerFooter alignWithMargins="0">
    <oddFooter>&amp;CSeite &amp;P von &amp;N&amp;R&amp;8&amp;F
Rettig Austria GmbH
Research and Development
&amp;D
</oddFooter>
  </headerFooter>
  <rowBreaks count="1" manualBreakCount="1">
    <brk id="39" max="255" man="1"/>
  </rowBreaks>
  <colBreaks count="1" manualBreakCount="1">
    <brk id="3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11"/>
  </sheetPr>
  <dimension ref="B1:AW47"/>
  <sheetViews>
    <sheetView showGridLines="0" zoomScaleSheetLayoutView="85" zoomScalePageLayoutView="0" workbookViewId="0" topLeftCell="B4">
      <selection activeCell="C10" sqref="C10:C14"/>
    </sheetView>
  </sheetViews>
  <sheetFormatPr defaultColWidth="11.57421875" defaultRowHeight="12.75"/>
  <cols>
    <col min="1" max="1" width="0" style="172" hidden="1" customWidth="1"/>
    <col min="2" max="2" width="43.421875" style="172" customWidth="1"/>
    <col min="3" max="3" width="7.421875" style="172" customWidth="1"/>
    <col min="4" max="5" width="8.7109375" style="172" hidden="1" customWidth="1"/>
    <col min="6" max="6" width="13.28125" style="172" hidden="1" customWidth="1"/>
    <col min="7" max="7" width="14.57421875" style="249" hidden="1" customWidth="1"/>
    <col min="8" max="8" width="7.8515625" style="172" hidden="1" customWidth="1"/>
    <col min="9" max="9" width="7.140625" style="250" hidden="1" customWidth="1"/>
    <col min="10" max="10" width="7.140625" style="251" hidden="1" customWidth="1"/>
    <col min="11" max="11" width="8.28125" style="172" hidden="1" customWidth="1"/>
    <col min="12" max="12" width="6.00390625" style="172" hidden="1" customWidth="1"/>
    <col min="13" max="13" width="2.57421875" style="172" customWidth="1"/>
    <col min="14" max="14" width="8.7109375" style="33" customWidth="1"/>
    <col min="15" max="19" width="5.7109375" style="252" customWidth="1"/>
    <col min="20" max="34" width="5.7109375" style="33" customWidth="1"/>
    <col min="35" max="49" width="4.00390625" style="172" customWidth="1"/>
    <col min="50" max="16384" width="11.57421875" style="172" customWidth="1"/>
  </cols>
  <sheetData>
    <row r="1" spans="3:4" ht="12.75" customHeight="1">
      <c r="C1" s="248"/>
      <c r="D1" s="248"/>
    </row>
    <row r="2" spans="6:10" ht="12.75" customHeight="1">
      <c r="F2" s="253"/>
      <c r="G2" s="254"/>
      <c r="H2" s="253"/>
      <c r="I2" s="255"/>
      <c r="J2" s="256"/>
    </row>
    <row r="3" spans="6:9" ht="12.75" customHeight="1">
      <c r="F3" s="253"/>
      <c r="G3" s="253"/>
      <c r="H3" s="255"/>
      <c r="I3" s="254"/>
    </row>
    <row r="4" spans="6:9" ht="15" customHeight="1">
      <c r="F4" s="253"/>
      <c r="G4" s="253"/>
      <c r="H4" s="255"/>
      <c r="I4" s="254"/>
    </row>
    <row r="5" spans="6:9" ht="8.25" customHeight="1">
      <c r="F5" s="253"/>
      <c r="G5" s="253"/>
      <c r="H5" s="255"/>
      <c r="I5" s="254"/>
    </row>
    <row r="6" spans="3:9" ht="12.75" customHeight="1" hidden="1">
      <c r="C6" s="172">
        <v>75</v>
      </c>
      <c r="E6" s="253" t="s">
        <v>47</v>
      </c>
      <c r="F6" s="253" t="s">
        <v>72</v>
      </c>
      <c r="G6" s="253" t="s">
        <v>71</v>
      </c>
      <c r="H6" s="250"/>
      <c r="I6" s="249"/>
    </row>
    <row r="7" spans="3:9" ht="12.75" customHeight="1" hidden="1">
      <c r="C7" s="172">
        <v>65</v>
      </c>
      <c r="E7" s="253" t="s">
        <v>47</v>
      </c>
      <c r="F7" s="253">
        <f>(C6+C7)/2-C8</f>
        <v>50</v>
      </c>
      <c r="G7" s="254">
        <f>(C6-C7)/LN((C6-C8)/(C7-C8))</f>
        <v>49.83288654563971</v>
      </c>
      <c r="H7" s="250"/>
      <c r="I7" s="249"/>
    </row>
    <row r="8" spans="3:9" ht="12.75" customHeight="1" hidden="1">
      <c r="C8" s="172">
        <v>20</v>
      </c>
      <c r="E8" s="253" t="s">
        <v>47</v>
      </c>
      <c r="F8" s="253"/>
      <c r="G8" s="253"/>
      <c r="H8" s="255"/>
      <c r="I8" s="254"/>
    </row>
    <row r="9" spans="3:49" ht="24.75" customHeight="1" thickBot="1">
      <c r="C9" s="9"/>
      <c r="D9" s="9"/>
      <c r="F9" s="253"/>
      <c r="G9" s="253"/>
      <c r="H9" s="255"/>
      <c r="I9" s="254"/>
      <c r="N9" s="57" t="s">
        <v>114</v>
      </c>
      <c r="O9" s="258"/>
      <c r="P9" s="258"/>
      <c r="Q9" s="258"/>
      <c r="R9" s="258"/>
      <c r="S9" s="258"/>
      <c r="T9" s="257"/>
      <c r="U9" s="257"/>
      <c r="V9" s="257"/>
      <c r="W9" s="257"/>
      <c r="X9" s="257"/>
      <c r="Y9" s="257"/>
      <c r="Z9" s="257"/>
      <c r="AA9" s="257"/>
      <c r="AB9" s="257"/>
      <c r="AH9" s="259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</row>
    <row r="10" spans="2:49" ht="16.5" customHeight="1">
      <c r="B10" s="358" t="str">
        <f>E10</f>
        <v>Temperatuur sissevoolul [°C]</v>
      </c>
      <c r="C10" s="364">
        <v>75</v>
      </c>
      <c r="D10" s="246"/>
      <c r="E10" s="172" t="s">
        <v>97</v>
      </c>
      <c r="F10" s="253"/>
      <c r="G10" s="255" t="s">
        <v>0</v>
      </c>
      <c r="H10" s="253" t="s">
        <v>71</v>
      </c>
      <c r="I10" s="254" t="s">
        <v>70</v>
      </c>
      <c r="J10" s="256" t="s">
        <v>73</v>
      </c>
      <c r="N10" s="257"/>
      <c r="O10" s="258"/>
      <c r="P10" s="258"/>
      <c r="Q10" s="258"/>
      <c r="R10" s="258"/>
      <c r="S10" s="258"/>
      <c r="T10" s="257"/>
      <c r="U10" s="257"/>
      <c r="V10" s="257"/>
      <c r="W10" s="257"/>
      <c r="X10" s="257"/>
      <c r="Y10" s="257"/>
      <c r="Z10" s="257"/>
      <c r="AA10" s="257"/>
      <c r="AB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</row>
    <row r="11" spans="2:49" ht="16.5" customHeight="1">
      <c r="B11" s="360" t="str">
        <f>E11</f>
        <v>Temperatuur väljavoolul [°C]</v>
      </c>
      <c r="C11" s="365">
        <v>65</v>
      </c>
      <c r="D11" s="246"/>
      <c r="E11" s="172" t="s">
        <v>98</v>
      </c>
      <c r="F11" s="253"/>
      <c r="G11" s="255">
        <f>(C10+C11)/2-C12</f>
        <v>50</v>
      </c>
      <c r="H11" s="254">
        <f>(C10-C11)/LN((C10-C12)/(C11-C12))</f>
        <v>49.83288654563971</v>
      </c>
      <c r="I11" s="254">
        <f>(C11-C12)/(C10-C12)</f>
        <v>0.8181818181818182</v>
      </c>
      <c r="J11" s="256">
        <f>IF(I11&lt;0.7,H11/G7,G11/F7)</f>
        <v>1</v>
      </c>
      <c r="M11" s="257"/>
      <c r="N11" s="257"/>
      <c r="O11" s="258"/>
      <c r="P11" s="258"/>
      <c r="Q11" s="258"/>
      <c r="R11" s="258"/>
      <c r="S11" s="258"/>
      <c r="T11" s="257"/>
      <c r="U11" s="257"/>
      <c r="V11" s="257"/>
      <c r="W11" s="257"/>
      <c r="X11" s="257"/>
      <c r="Y11" s="257"/>
      <c r="Z11" s="257"/>
      <c r="AA11" s="257"/>
      <c r="AB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</row>
    <row r="12" spans="2:49" s="260" customFormat="1" ht="16.5" customHeight="1" thickBot="1">
      <c r="B12" s="360" t="str">
        <f>E12</f>
        <v>Ruumi temperatuur[°C]</v>
      </c>
      <c r="C12" s="365">
        <v>20</v>
      </c>
      <c r="D12" s="247"/>
      <c r="E12" s="260" t="s">
        <v>109</v>
      </c>
      <c r="G12" s="261"/>
      <c r="I12" s="262"/>
      <c r="J12" s="263"/>
      <c r="M12" s="257"/>
      <c r="N12" s="258"/>
      <c r="O12" s="258"/>
      <c r="P12" s="258"/>
      <c r="Q12" s="258"/>
      <c r="R12" s="258"/>
      <c r="S12" s="258"/>
      <c r="T12" s="257"/>
      <c r="U12" s="257"/>
      <c r="V12" s="257"/>
      <c r="W12" s="257"/>
      <c r="X12" s="257"/>
      <c r="Y12" s="257"/>
      <c r="Z12" s="257"/>
      <c r="AA12" s="257"/>
      <c r="AB12" s="257"/>
      <c r="AC12" s="33"/>
      <c r="AD12" s="33"/>
      <c r="AE12" s="33"/>
      <c r="AF12" s="33"/>
      <c r="AG12" s="33"/>
      <c r="AH12" s="33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</row>
    <row r="13" spans="2:34" s="260" customFormat="1" ht="16.5" customHeight="1">
      <c r="B13" s="275"/>
      <c r="C13" s="274"/>
      <c r="D13" s="247"/>
      <c r="G13" s="261"/>
      <c r="I13" s="262"/>
      <c r="J13" s="263"/>
      <c r="N13" s="414" t="s">
        <v>110</v>
      </c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6"/>
    </row>
    <row r="14" spans="2:34" s="260" customFormat="1" ht="16.5" customHeight="1" thickBot="1">
      <c r="B14" s="276" t="s">
        <v>113</v>
      </c>
      <c r="C14" s="401">
        <v>0</v>
      </c>
      <c r="D14" s="175"/>
      <c r="E14" s="71" t="s">
        <v>112</v>
      </c>
      <c r="F14" s="70"/>
      <c r="G14" s="70"/>
      <c r="H14" s="70"/>
      <c r="J14" s="263"/>
      <c r="N14" s="233" t="str">
        <f>B15</f>
        <v>Soojendusvõimsus EN 442</v>
      </c>
      <c r="O14" s="278"/>
      <c r="P14" s="278"/>
      <c r="Q14" s="278"/>
      <c r="R14" s="278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369"/>
    </row>
    <row r="15" spans="2:34" s="260" customFormat="1" ht="12.75" customHeight="1" thickBot="1">
      <c r="B15" s="405" t="str">
        <f>IF(C14=1,"Tulemusväärtused kcal/h vastavalt DIN EN 442",IF(C14=2,"Tulemusväärtused BTU/h vastavalt DIN EN 442","Soojendusvõimsus EN 442"))</f>
        <v>Soojendusvõimsus EN 442</v>
      </c>
      <c r="C15" s="405"/>
      <c r="D15" s="405"/>
      <c r="E15" s="405"/>
      <c r="F15" s="405"/>
      <c r="G15" s="264"/>
      <c r="H15" s="264"/>
      <c r="I15" s="264"/>
      <c r="J15" s="64" t="s">
        <v>76</v>
      </c>
      <c r="K15" s="68">
        <f>IF(C14=1,0.859845,IF(C14=2,3.412141,1))</f>
        <v>1</v>
      </c>
      <c r="N15" s="388" t="str">
        <f>E10&amp;" "&amp;C10&amp;" "&amp;E16&amp;"               "&amp;E11&amp;" "&amp;C11&amp;" "&amp;E16&amp;"               "&amp;E12&amp;" "&amp;C12&amp;" "&amp;E16</f>
        <v>Temperatuur sissevoolul [°C] 75                 Temperatuur väljavoolul [°C] 65                 Ruumi temperatuur[°C] 20  </v>
      </c>
      <c r="O15" s="382"/>
      <c r="P15" s="383"/>
      <c r="Q15" s="382"/>
      <c r="R15" s="382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5"/>
    </row>
    <row r="16" spans="3:34" s="173" customFormat="1" ht="12.75" customHeight="1">
      <c r="C16" s="260"/>
      <c r="D16" s="260"/>
      <c r="E16" s="260" t="s">
        <v>16</v>
      </c>
      <c r="F16" s="260"/>
      <c r="G16" s="262"/>
      <c r="H16" s="260"/>
      <c r="I16" s="261"/>
      <c r="J16" s="263"/>
      <c r="K16" s="264"/>
      <c r="N16" s="389" t="s">
        <v>101</v>
      </c>
      <c r="O16" s="417">
        <v>300</v>
      </c>
      <c r="P16" s="418"/>
      <c r="Q16" s="418"/>
      <c r="R16" s="419"/>
      <c r="S16" s="417">
        <v>400</v>
      </c>
      <c r="T16" s="418"/>
      <c r="U16" s="418"/>
      <c r="V16" s="419"/>
      <c r="W16" s="417">
        <v>500</v>
      </c>
      <c r="X16" s="418"/>
      <c r="Y16" s="418"/>
      <c r="Z16" s="419"/>
      <c r="AA16" s="417">
        <v>600</v>
      </c>
      <c r="AB16" s="418"/>
      <c r="AC16" s="418"/>
      <c r="AD16" s="419"/>
      <c r="AE16" s="417">
        <v>900</v>
      </c>
      <c r="AF16" s="418"/>
      <c r="AG16" s="418"/>
      <c r="AH16" s="419"/>
    </row>
    <row r="17" spans="3:34" s="173" customFormat="1" ht="12.75" customHeight="1">
      <c r="C17" s="264"/>
      <c r="D17" s="264"/>
      <c r="E17" s="265"/>
      <c r="F17" s="265"/>
      <c r="G17" s="266"/>
      <c r="H17" s="265"/>
      <c r="I17" s="267"/>
      <c r="J17" s="268"/>
      <c r="K17" s="260"/>
      <c r="N17" s="390" t="s">
        <v>100</v>
      </c>
      <c r="O17" s="384" t="s">
        <v>78</v>
      </c>
      <c r="P17" s="280" t="s">
        <v>79</v>
      </c>
      <c r="Q17" s="280" t="s">
        <v>80</v>
      </c>
      <c r="R17" s="385" t="s">
        <v>81</v>
      </c>
      <c r="S17" s="376" t="s">
        <v>78</v>
      </c>
      <c r="T17" s="281" t="s">
        <v>79</v>
      </c>
      <c r="U17" s="281" t="s">
        <v>82</v>
      </c>
      <c r="V17" s="380" t="s">
        <v>83</v>
      </c>
      <c r="W17" s="376" t="s">
        <v>78</v>
      </c>
      <c r="X17" s="281" t="s">
        <v>79</v>
      </c>
      <c r="Y17" s="281" t="s">
        <v>82</v>
      </c>
      <c r="Z17" s="380" t="s">
        <v>83</v>
      </c>
      <c r="AA17" s="376" t="s">
        <v>84</v>
      </c>
      <c r="AB17" s="281" t="s">
        <v>79</v>
      </c>
      <c r="AC17" s="281" t="s">
        <v>82</v>
      </c>
      <c r="AD17" s="380" t="s">
        <v>83</v>
      </c>
      <c r="AE17" s="376" t="s">
        <v>84</v>
      </c>
      <c r="AF17" s="281" t="s">
        <v>85</v>
      </c>
      <c r="AG17" s="281" t="s">
        <v>82</v>
      </c>
      <c r="AH17" s="370" t="s">
        <v>86</v>
      </c>
    </row>
    <row r="18" spans="7:34" s="260" customFormat="1" ht="12.75" customHeight="1" thickBot="1">
      <c r="G18" s="262"/>
      <c r="I18" s="261"/>
      <c r="J18" s="263"/>
      <c r="K18" s="173"/>
      <c r="L18" s="172"/>
      <c r="M18" s="172"/>
      <c r="N18" s="391" t="s">
        <v>102</v>
      </c>
      <c r="O18" s="384" t="s">
        <v>87</v>
      </c>
      <c r="P18" s="280" t="s">
        <v>88</v>
      </c>
      <c r="Q18" s="280" t="s">
        <v>89</v>
      </c>
      <c r="R18" s="385" t="s">
        <v>90</v>
      </c>
      <c r="S18" s="377" t="s">
        <v>87</v>
      </c>
      <c r="T18" s="282" t="s">
        <v>88</v>
      </c>
      <c r="U18" s="282" t="s">
        <v>89</v>
      </c>
      <c r="V18" s="381" t="s">
        <v>90</v>
      </c>
      <c r="W18" s="377" t="s">
        <v>87</v>
      </c>
      <c r="X18" s="282" t="s">
        <v>88</v>
      </c>
      <c r="Y18" s="282" t="s">
        <v>89</v>
      </c>
      <c r="Z18" s="381" t="s">
        <v>90</v>
      </c>
      <c r="AA18" s="377" t="s">
        <v>87</v>
      </c>
      <c r="AB18" s="282" t="s">
        <v>88</v>
      </c>
      <c r="AC18" s="282" t="s">
        <v>89</v>
      </c>
      <c r="AD18" s="381" t="s">
        <v>90</v>
      </c>
      <c r="AE18" s="377" t="s">
        <v>87</v>
      </c>
      <c r="AF18" s="282" t="s">
        <v>88</v>
      </c>
      <c r="AG18" s="282" t="s">
        <v>89</v>
      </c>
      <c r="AH18" s="371" t="s">
        <v>90</v>
      </c>
    </row>
    <row r="19" spans="2:34" ht="12.75" customHeight="1">
      <c r="B19" s="355" t="s">
        <v>0</v>
      </c>
      <c r="C19" s="366">
        <f>J11</f>
        <v>1</v>
      </c>
      <c r="D19" s="173"/>
      <c r="E19" s="270" t="s">
        <v>2</v>
      </c>
      <c r="F19" s="271" t="s">
        <v>4</v>
      </c>
      <c r="G19" s="271" t="s">
        <v>77</v>
      </c>
      <c r="H19" s="270" t="s">
        <v>3</v>
      </c>
      <c r="I19" s="272" t="s">
        <v>5</v>
      </c>
      <c r="J19" s="269"/>
      <c r="K19" s="173"/>
      <c r="N19" s="392">
        <v>400</v>
      </c>
      <c r="O19" s="386">
        <f>ROUND(T11K_300*$N19/1000,0)</f>
        <v>213</v>
      </c>
      <c r="P19" s="285">
        <f>ROUND(T21K_300*$N19/1000,0)</f>
        <v>313</v>
      </c>
      <c r="Q19" s="277">
        <f>ROUND(T22K_300*$N19/1000,0)</f>
        <v>428</v>
      </c>
      <c r="R19" s="372">
        <f>ROUND(T33K_300*$N19/1000,0)</f>
        <v>626</v>
      </c>
      <c r="S19" s="378">
        <f>ROUND(T11K_400*$N19/1000,0)</f>
        <v>264</v>
      </c>
      <c r="T19" s="285">
        <f>ROUND(T21K_400*$N19/1000,0)</f>
        <v>395</v>
      </c>
      <c r="U19" s="277">
        <f>ROUND(T22K_400*$N19/1000,0)</f>
        <v>534</v>
      </c>
      <c r="V19" s="372">
        <f>ROUND(T33K_400*$N19/1000,0)</f>
        <v>778</v>
      </c>
      <c r="W19" s="378">
        <f>ROUND(T11K_500*$N19/1000,0)</f>
        <v>314</v>
      </c>
      <c r="X19" s="285">
        <f>ROUND(T21K_500*$N19/1000,0)</f>
        <v>469</v>
      </c>
      <c r="Y19" s="277">
        <f>ROUND(T22K_500*$N19/1000,0)</f>
        <v>608</v>
      </c>
      <c r="Z19" s="372">
        <f>ROUND(T33K_500*$N19/1000,0)</f>
        <v>857</v>
      </c>
      <c r="AA19" s="378">
        <f>ROUND(T11K_600*$N19/1000,0)</f>
        <v>338</v>
      </c>
      <c r="AB19" s="285">
        <f>ROUND(T21K_600*$N19/1000,0)</f>
        <v>520</v>
      </c>
      <c r="AC19" s="277">
        <f>ROUND(T22K_600*$N19/1000,0)</f>
        <v>668</v>
      </c>
      <c r="AD19" s="372">
        <f>ROUND(T33K_600*$N19/1000,0)</f>
        <v>967</v>
      </c>
      <c r="AE19" s="378">
        <f>ROUND(T11K_900*$N19/1000,0)</f>
        <v>480</v>
      </c>
      <c r="AF19" s="285">
        <f>ROUND(T21K_900*$N19/1000,0)</f>
        <v>708</v>
      </c>
      <c r="AG19" s="277">
        <f>ROUND(T22K_900*$N19/1000,0)</f>
        <v>899</v>
      </c>
      <c r="AH19" s="372">
        <f>ROUND(T33K_900*$N19/1000,0)</f>
        <v>1264</v>
      </c>
    </row>
    <row r="20" spans="2:34" ht="12.75" customHeight="1">
      <c r="B20" s="356" t="s">
        <v>71</v>
      </c>
      <c r="C20" s="367">
        <f>I11</f>
        <v>0.8181818181818182</v>
      </c>
      <c r="D20" s="173"/>
      <c r="E20" s="20"/>
      <c r="F20" s="271"/>
      <c r="G20" s="271"/>
      <c r="H20" s="270" t="s">
        <v>6</v>
      </c>
      <c r="I20" s="272"/>
      <c r="J20" s="269"/>
      <c r="N20" s="393">
        <v>520</v>
      </c>
      <c r="O20" s="387">
        <f>ROUND(T11K_300*$N20/1000,0)</f>
        <v>277</v>
      </c>
      <c r="P20" s="277">
        <f>ROUND(T21K_300*$N20/1000,0)</f>
        <v>407</v>
      </c>
      <c r="Q20" s="285">
        <f>ROUND(T22K_300*$N20/1000,0)</f>
        <v>557</v>
      </c>
      <c r="R20" s="373">
        <f>ROUND(T33K_300*$N20/1000,0)</f>
        <v>814</v>
      </c>
      <c r="S20" s="379">
        <f>ROUND(T11K_400*$N20/1000,0)</f>
        <v>343</v>
      </c>
      <c r="T20" s="277">
        <f>ROUND(T21K_400*$N20/1000,0)</f>
        <v>514</v>
      </c>
      <c r="U20" s="285">
        <f>ROUND(T22K_400*$N20/1000,0)</f>
        <v>695</v>
      </c>
      <c r="V20" s="373">
        <f>ROUND(T33K_400*$N20/1000,0)</f>
        <v>1012</v>
      </c>
      <c r="W20" s="379">
        <f>ROUND(T11K_500*$N20/1000,0)</f>
        <v>408</v>
      </c>
      <c r="X20" s="277">
        <f>ROUND(T21K_500*$N20/1000,0)</f>
        <v>610</v>
      </c>
      <c r="Y20" s="285">
        <f>ROUND(T22K_500*$N20/1000,0)</f>
        <v>790</v>
      </c>
      <c r="Z20" s="373">
        <f>ROUND(T33K_500*$N20/1000,0)</f>
        <v>1114</v>
      </c>
      <c r="AA20" s="379">
        <f>ROUND(T11K_600*$N20/1000,0)</f>
        <v>439</v>
      </c>
      <c r="AB20" s="277">
        <f>ROUND(T21K_600*$N20/1000,0)</f>
        <v>677</v>
      </c>
      <c r="AC20" s="285">
        <f>ROUND(T22K_600*$N20/1000,0)</f>
        <v>868</v>
      </c>
      <c r="AD20" s="373">
        <f>ROUND(T33K_600*$N20/1000,0)</f>
        <v>1257</v>
      </c>
      <c r="AE20" s="379">
        <f>ROUND(T11K_900*$N20/1000,0)</f>
        <v>623</v>
      </c>
      <c r="AF20" s="277">
        <f>ROUND(T21K_900*$N20/1000,0)</f>
        <v>920</v>
      </c>
      <c r="AG20" s="285">
        <f>ROUND(T22K_900*$N20/1000,0)</f>
        <v>1169</v>
      </c>
      <c r="AH20" s="373">
        <f>ROUND(T33K_900*$N20/1000,0)</f>
        <v>1643</v>
      </c>
    </row>
    <row r="21" spans="2:34" ht="12.75" customHeight="1">
      <c r="B21" s="356" t="s">
        <v>70</v>
      </c>
      <c r="C21" s="367">
        <f>H11</f>
        <v>49.83288654563971</v>
      </c>
      <c r="D21" s="79"/>
      <c r="E21" s="80">
        <v>1.3111</v>
      </c>
      <c r="F21" s="81">
        <v>532</v>
      </c>
      <c r="G21" s="82">
        <f aca="true" t="shared" si="0" ref="G21:G47">F21/25</f>
        <v>21.28</v>
      </c>
      <c r="H21" s="83">
        <f>POWER(J11,E21)</f>
        <v>1</v>
      </c>
      <c r="I21" s="84">
        <f aca="true" t="shared" si="1" ref="I21:I47">ROUND(F21*H21*Koeff,0)</f>
        <v>532</v>
      </c>
      <c r="K21" s="273"/>
      <c r="N21" s="392">
        <v>600</v>
      </c>
      <c r="O21" s="386">
        <f>ROUND(T11K_300*$N21/1000,0)</f>
        <v>319</v>
      </c>
      <c r="P21" s="285">
        <f>ROUND(T21K_300*$N21/1000,0)</f>
        <v>470</v>
      </c>
      <c r="Q21" s="277">
        <f>ROUND(T22K_300*$N21/1000,0)</f>
        <v>643</v>
      </c>
      <c r="R21" s="372">
        <f>ROUND(T33K_300*$N21/1000,0)</f>
        <v>940</v>
      </c>
      <c r="S21" s="378">
        <f>ROUND(T11K_400*$N21/1000,0)</f>
        <v>396</v>
      </c>
      <c r="T21" s="285">
        <f>ROUND(T21K_400*$N21/1000,0)</f>
        <v>593</v>
      </c>
      <c r="U21" s="277">
        <f>ROUND(T22K_400*$N21/1000,0)</f>
        <v>802</v>
      </c>
      <c r="V21" s="372">
        <f>ROUND(T33K_400*$N21/1000,0)</f>
        <v>1168</v>
      </c>
      <c r="W21" s="378">
        <f>ROUND(T11K_500*$N21/1000,0)</f>
        <v>470</v>
      </c>
      <c r="X21" s="285">
        <f>ROUND(T21K_500*$N21/1000,0)</f>
        <v>704</v>
      </c>
      <c r="Y21" s="277">
        <f>ROUND(T22K_500*$N21/1000,0)</f>
        <v>912</v>
      </c>
      <c r="Z21" s="372">
        <f>ROUND(T33K_500*$N21/1000,0)</f>
        <v>1285</v>
      </c>
      <c r="AA21" s="378">
        <f>ROUND(T11K_600*$N21/1000,0)</f>
        <v>506</v>
      </c>
      <c r="AB21" s="285">
        <f>ROUND(T21K_600*$N21/1000,0)</f>
        <v>781</v>
      </c>
      <c r="AC21" s="277">
        <f>ROUND(T22K_600*$N21/1000,0)</f>
        <v>1001</v>
      </c>
      <c r="AD21" s="372">
        <f>ROUND(T33K_600*$N21/1000,0)</f>
        <v>1451</v>
      </c>
      <c r="AE21" s="378">
        <f>ROUND(T11K_900*$N21/1000,0)</f>
        <v>719</v>
      </c>
      <c r="AF21" s="285">
        <f>ROUND(T21K_900*$N21/1000,0)</f>
        <v>1061</v>
      </c>
      <c r="AG21" s="277">
        <f>ROUND(T22K_900*$N21/1000,0)</f>
        <v>1349</v>
      </c>
      <c r="AH21" s="372">
        <f>ROUND(T33K_900*$N21/1000,0)</f>
        <v>1895</v>
      </c>
    </row>
    <row r="22" spans="2:34" ht="12.75" customHeight="1" thickBot="1">
      <c r="B22" s="357" t="s">
        <v>111</v>
      </c>
      <c r="C22" s="368">
        <f>G11</f>
        <v>50</v>
      </c>
      <c r="D22" s="79"/>
      <c r="E22" s="80">
        <v>1.3211</v>
      </c>
      <c r="F22" s="81">
        <v>660</v>
      </c>
      <c r="G22" s="82">
        <f t="shared" si="0"/>
        <v>26.4</v>
      </c>
      <c r="H22" s="83">
        <f>POWER(J11,E22)</f>
        <v>1</v>
      </c>
      <c r="I22" s="84">
        <f t="shared" si="1"/>
        <v>660</v>
      </c>
      <c r="K22" s="273"/>
      <c r="N22" s="393">
        <v>720</v>
      </c>
      <c r="O22" s="387">
        <f aca="true" t="shared" si="2" ref="O22:O37">ROUND(T11K_300*$N22/1000,0)</f>
        <v>383</v>
      </c>
      <c r="P22" s="277">
        <f aca="true" t="shared" si="3" ref="P22:P37">ROUND(T21K_300*$N22/1000,0)</f>
        <v>564</v>
      </c>
      <c r="Q22" s="285">
        <f aca="true" t="shared" si="4" ref="Q22:Q37">ROUND(T22K_300*$N22/1000,0)</f>
        <v>771</v>
      </c>
      <c r="R22" s="373">
        <f aca="true" t="shared" si="5" ref="R22:R37">ROUND(T33K_300*$N22/1000,0)</f>
        <v>1128</v>
      </c>
      <c r="S22" s="379">
        <f aca="true" t="shared" si="6" ref="S22:S37">ROUND(T11K_400*$N22/1000,0)</f>
        <v>475</v>
      </c>
      <c r="T22" s="277">
        <f aca="true" t="shared" si="7" ref="T22:T37">ROUND(T21K_400*$N22/1000,0)</f>
        <v>711</v>
      </c>
      <c r="U22" s="285">
        <f aca="true" t="shared" si="8" ref="U22:U37">ROUND(T22K_400*$N22/1000,0)</f>
        <v>962</v>
      </c>
      <c r="V22" s="373">
        <f aca="true" t="shared" si="9" ref="V22:V37">ROUND(T33K_400*$N22/1000,0)</f>
        <v>1401</v>
      </c>
      <c r="W22" s="379">
        <f aca="true" t="shared" si="10" ref="W22:W37">ROUND(T11K_500*$N22/1000,0)</f>
        <v>564</v>
      </c>
      <c r="X22" s="277">
        <f aca="true" t="shared" si="11" ref="X22:X37">ROUND(T21K_500*$N22/1000,0)</f>
        <v>845</v>
      </c>
      <c r="Y22" s="285">
        <f aca="true" t="shared" si="12" ref="Y22:Y37">ROUND(T22K_500*$N22/1000,0)</f>
        <v>1094</v>
      </c>
      <c r="Z22" s="373">
        <f aca="true" t="shared" si="13" ref="Z22:Z37">ROUND(T33K_500*$N22/1000,0)</f>
        <v>1542</v>
      </c>
      <c r="AA22" s="379">
        <f aca="true" t="shared" si="14" ref="AA22:AA37">ROUND(T11K_600*$N22/1000,0)</f>
        <v>608</v>
      </c>
      <c r="AB22" s="277">
        <f aca="true" t="shared" si="15" ref="AB22:AB37">ROUND(T21K_600*$N22/1000,0)</f>
        <v>937</v>
      </c>
      <c r="AC22" s="285">
        <f aca="true" t="shared" si="16" ref="AC22:AC37">ROUND(T22K_600*$N22/1000,0)</f>
        <v>1202</v>
      </c>
      <c r="AD22" s="373">
        <f aca="true" t="shared" si="17" ref="AD22:AD37">ROUND(T33K_600*$N22/1000,0)</f>
        <v>1741</v>
      </c>
      <c r="AE22" s="379">
        <f aca="true" t="shared" si="18" ref="AE22:AE37">ROUND(T11K_900*$N22/1000,0)</f>
        <v>863</v>
      </c>
      <c r="AF22" s="277">
        <f aca="true" t="shared" si="19" ref="AF22:AF37">ROUND(T21K_900*$N22/1000,0)</f>
        <v>1274</v>
      </c>
      <c r="AG22" s="285">
        <f aca="true" t="shared" si="20" ref="AG22:AG37">ROUND(T22K_900*$N22/1000,0)</f>
        <v>1619</v>
      </c>
      <c r="AH22" s="373">
        <f aca="true" t="shared" si="21" ref="AH22:AH37">ROUND(T33K_900*$N22/1000,0)</f>
        <v>2274</v>
      </c>
    </row>
    <row r="23" spans="2:34" ht="12.75" customHeight="1">
      <c r="B23" s="264"/>
      <c r="C23" s="283"/>
      <c r="D23" s="79"/>
      <c r="E23" s="80">
        <v>1.3129</v>
      </c>
      <c r="F23" s="81">
        <v>784</v>
      </c>
      <c r="G23" s="82">
        <f t="shared" si="0"/>
        <v>31.36</v>
      </c>
      <c r="H23" s="83">
        <f>POWER(J11,E23)</f>
        <v>1</v>
      </c>
      <c r="I23" s="84">
        <f t="shared" si="1"/>
        <v>784</v>
      </c>
      <c r="K23" s="273"/>
      <c r="N23" s="392">
        <v>800</v>
      </c>
      <c r="O23" s="386">
        <f t="shared" si="2"/>
        <v>426</v>
      </c>
      <c r="P23" s="285">
        <f t="shared" si="3"/>
        <v>626</v>
      </c>
      <c r="Q23" s="277">
        <f t="shared" si="4"/>
        <v>857</v>
      </c>
      <c r="R23" s="372">
        <f t="shared" si="5"/>
        <v>1253</v>
      </c>
      <c r="S23" s="378">
        <f t="shared" si="6"/>
        <v>528</v>
      </c>
      <c r="T23" s="285">
        <f t="shared" si="7"/>
        <v>790</v>
      </c>
      <c r="U23" s="277">
        <f t="shared" si="8"/>
        <v>1069</v>
      </c>
      <c r="V23" s="372">
        <f t="shared" si="9"/>
        <v>1557</v>
      </c>
      <c r="W23" s="378">
        <f t="shared" si="10"/>
        <v>627</v>
      </c>
      <c r="X23" s="285">
        <f t="shared" si="11"/>
        <v>938</v>
      </c>
      <c r="Y23" s="277">
        <f t="shared" si="12"/>
        <v>1216</v>
      </c>
      <c r="Z23" s="372">
        <f t="shared" si="13"/>
        <v>1714</v>
      </c>
      <c r="AA23" s="378">
        <f t="shared" si="14"/>
        <v>675</v>
      </c>
      <c r="AB23" s="285">
        <f t="shared" si="15"/>
        <v>1041</v>
      </c>
      <c r="AC23" s="277">
        <f t="shared" si="16"/>
        <v>1335</v>
      </c>
      <c r="AD23" s="372">
        <f t="shared" si="17"/>
        <v>1934</v>
      </c>
      <c r="AE23" s="378">
        <f t="shared" si="18"/>
        <v>959</v>
      </c>
      <c r="AF23" s="285">
        <f t="shared" si="19"/>
        <v>1415</v>
      </c>
      <c r="AG23" s="277">
        <f t="shared" si="20"/>
        <v>1798</v>
      </c>
      <c r="AH23" s="372">
        <f t="shared" si="21"/>
        <v>2527</v>
      </c>
    </row>
    <row r="24" spans="3:34" ht="12.75" customHeight="1">
      <c r="C24" s="79"/>
      <c r="D24" s="79"/>
      <c r="E24" s="80">
        <v>1.3031</v>
      </c>
      <c r="F24" s="81">
        <v>844</v>
      </c>
      <c r="G24" s="82">
        <f t="shared" si="0"/>
        <v>33.76</v>
      </c>
      <c r="H24" s="83">
        <f>POWER(J11,E24)</f>
        <v>1</v>
      </c>
      <c r="I24" s="84">
        <f t="shared" si="1"/>
        <v>844</v>
      </c>
      <c r="K24" s="273"/>
      <c r="N24" s="393">
        <v>920</v>
      </c>
      <c r="O24" s="387">
        <f t="shared" si="2"/>
        <v>489</v>
      </c>
      <c r="P24" s="277">
        <f t="shared" si="3"/>
        <v>720</v>
      </c>
      <c r="Q24" s="285">
        <f t="shared" si="4"/>
        <v>985</v>
      </c>
      <c r="R24" s="373">
        <f t="shared" si="5"/>
        <v>1441</v>
      </c>
      <c r="S24" s="379">
        <f t="shared" si="6"/>
        <v>607</v>
      </c>
      <c r="T24" s="277">
        <f t="shared" si="7"/>
        <v>909</v>
      </c>
      <c r="U24" s="285">
        <f t="shared" si="8"/>
        <v>1229</v>
      </c>
      <c r="V24" s="373">
        <f t="shared" si="9"/>
        <v>1790</v>
      </c>
      <c r="W24" s="379">
        <f t="shared" si="10"/>
        <v>721</v>
      </c>
      <c r="X24" s="277">
        <f t="shared" si="11"/>
        <v>1079</v>
      </c>
      <c r="Y24" s="285">
        <f t="shared" si="12"/>
        <v>1398</v>
      </c>
      <c r="Z24" s="373">
        <f t="shared" si="13"/>
        <v>1971</v>
      </c>
      <c r="AA24" s="379">
        <f t="shared" si="14"/>
        <v>776</v>
      </c>
      <c r="AB24" s="277">
        <f t="shared" si="15"/>
        <v>1197</v>
      </c>
      <c r="AC24" s="285">
        <f t="shared" si="16"/>
        <v>1535</v>
      </c>
      <c r="AD24" s="373">
        <f t="shared" si="17"/>
        <v>2225</v>
      </c>
      <c r="AE24" s="379">
        <f t="shared" si="18"/>
        <v>1103</v>
      </c>
      <c r="AF24" s="277">
        <f t="shared" si="19"/>
        <v>1627</v>
      </c>
      <c r="AG24" s="285">
        <f t="shared" si="20"/>
        <v>2068</v>
      </c>
      <c r="AH24" s="373">
        <f t="shared" si="21"/>
        <v>2906</v>
      </c>
    </row>
    <row r="25" spans="3:34" ht="12.75" customHeight="1">
      <c r="C25" s="79"/>
      <c r="D25" s="79"/>
      <c r="E25" s="80">
        <v>1.3275</v>
      </c>
      <c r="F25" s="81">
        <v>1199</v>
      </c>
      <c r="G25" s="82">
        <f t="shared" si="0"/>
        <v>47.96</v>
      </c>
      <c r="H25" s="83">
        <f>POWER(J11,E25)</f>
        <v>1</v>
      </c>
      <c r="I25" s="84">
        <f t="shared" si="1"/>
        <v>1199</v>
      </c>
      <c r="K25" s="273"/>
      <c r="N25" s="392">
        <v>1000</v>
      </c>
      <c r="O25" s="386">
        <f t="shared" si="2"/>
        <v>532</v>
      </c>
      <c r="P25" s="285">
        <f t="shared" si="3"/>
        <v>783</v>
      </c>
      <c r="Q25" s="277">
        <f t="shared" si="4"/>
        <v>1071</v>
      </c>
      <c r="R25" s="372">
        <f t="shared" si="5"/>
        <v>1566</v>
      </c>
      <c r="S25" s="378">
        <f t="shared" si="6"/>
        <v>660</v>
      </c>
      <c r="T25" s="285">
        <f t="shared" si="7"/>
        <v>988</v>
      </c>
      <c r="U25" s="277">
        <f t="shared" si="8"/>
        <v>1336</v>
      </c>
      <c r="V25" s="372">
        <f t="shared" si="9"/>
        <v>1946</v>
      </c>
      <c r="W25" s="378">
        <f t="shared" si="10"/>
        <v>784</v>
      </c>
      <c r="X25" s="285">
        <f t="shared" si="11"/>
        <v>1173</v>
      </c>
      <c r="Y25" s="277">
        <f t="shared" si="12"/>
        <v>1520</v>
      </c>
      <c r="Z25" s="372">
        <f t="shared" si="13"/>
        <v>2142</v>
      </c>
      <c r="AA25" s="378">
        <f t="shared" si="14"/>
        <v>844</v>
      </c>
      <c r="AB25" s="285">
        <f t="shared" si="15"/>
        <v>1301</v>
      </c>
      <c r="AC25" s="277">
        <f t="shared" si="16"/>
        <v>1669</v>
      </c>
      <c r="AD25" s="372">
        <f t="shared" si="17"/>
        <v>2418</v>
      </c>
      <c r="AE25" s="378">
        <f t="shared" si="18"/>
        <v>1199</v>
      </c>
      <c r="AF25" s="285">
        <f t="shared" si="19"/>
        <v>1769</v>
      </c>
      <c r="AG25" s="277">
        <f t="shared" si="20"/>
        <v>2248</v>
      </c>
      <c r="AH25" s="372">
        <f t="shared" si="21"/>
        <v>3159</v>
      </c>
    </row>
    <row r="26" spans="3:34" ht="12.75" customHeight="1">
      <c r="C26" s="85"/>
      <c r="D26" s="85"/>
      <c r="E26" s="86">
        <v>1.2686</v>
      </c>
      <c r="F26" s="87">
        <v>552</v>
      </c>
      <c r="G26" s="88">
        <f t="shared" si="0"/>
        <v>22.08</v>
      </c>
      <c r="H26" s="89">
        <f>POWER(J11,E26)</f>
        <v>1</v>
      </c>
      <c r="I26" s="84">
        <f t="shared" si="1"/>
        <v>552</v>
      </c>
      <c r="K26" s="273"/>
      <c r="N26" s="393">
        <v>1120</v>
      </c>
      <c r="O26" s="387">
        <f t="shared" si="2"/>
        <v>596</v>
      </c>
      <c r="P26" s="277">
        <f t="shared" si="3"/>
        <v>877</v>
      </c>
      <c r="Q26" s="285">
        <f t="shared" si="4"/>
        <v>1200</v>
      </c>
      <c r="R26" s="373">
        <f t="shared" si="5"/>
        <v>1754</v>
      </c>
      <c r="S26" s="379">
        <f t="shared" si="6"/>
        <v>739</v>
      </c>
      <c r="T26" s="277">
        <f t="shared" si="7"/>
        <v>1107</v>
      </c>
      <c r="U26" s="285">
        <f t="shared" si="8"/>
        <v>1496</v>
      </c>
      <c r="V26" s="373">
        <f t="shared" si="9"/>
        <v>2180</v>
      </c>
      <c r="W26" s="379">
        <f t="shared" si="10"/>
        <v>878</v>
      </c>
      <c r="X26" s="277">
        <f t="shared" si="11"/>
        <v>1314</v>
      </c>
      <c r="Y26" s="285">
        <f t="shared" si="12"/>
        <v>1702</v>
      </c>
      <c r="Z26" s="373">
        <f t="shared" si="13"/>
        <v>2399</v>
      </c>
      <c r="AA26" s="379">
        <f t="shared" si="14"/>
        <v>945</v>
      </c>
      <c r="AB26" s="277">
        <f t="shared" si="15"/>
        <v>1457</v>
      </c>
      <c r="AC26" s="285">
        <f t="shared" si="16"/>
        <v>1869</v>
      </c>
      <c r="AD26" s="373">
        <f t="shared" si="17"/>
        <v>2708</v>
      </c>
      <c r="AE26" s="379">
        <f t="shared" si="18"/>
        <v>1343</v>
      </c>
      <c r="AF26" s="277">
        <f t="shared" si="19"/>
        <v>1981</v>
      </c>
      <c r="AG26" s="285">
        <f t="shared" si="20"/>
        <v>2518</v>
      </c>
      <c r="AH26" s="373">
        <f t="shared" si="21"/>
        <v>3538</v>
      </c>
    </row>
    <row r="27" spans="3:34" ht="12.75" customHeight="1">
      <c r="C27" s="85"/>
      <c r="D27" s="85"/>
      <c r="E27" s="86">
        <v>1.2724</v>
      </c>
      <c r="F27" s="87">
        <v>687</v>
      </c>
      <c r="G27" s="88">
        <f t="shared" si="0"/>
        <v>27.48</v>
      </c>
      <c r="H27" s="89">
        <f>POWER(J11,E27)</f>
        <v>1</v>
      </c>
      <c r="I27" s="84">
        <f t="shared" si="1"/>
        <v>687</v>
      </c>
      <c r="K27" s="273"/>
      <c r="N27" s="392">
        <v>1200</v>
      </c>
      <c r="O27" s="386">
        <f t="shared" si="2"/>
        <v>638</v>
      </c>
      <c r="P27" s="285">
        <f t="shared" si="3"/>
        <v>940</v>
      </c>
      <c r="Q27" s="277">
        <f t="shared" si="4"/>
        <v>1285</v>
      </c>
      <c r="R27" s="372">
        <f t="shared" si="5"/>
        <v>1879</v>
      </c>
      <c r="S27" s="378">
        <f t="shared" si="6"/>
        <v>792</v>
      </c>
      <c r="T27" s="285">
        <f t="shared" si="7"/>
        <v>1186</v>
      </c>
      <c r="U27" s="277">
        <f t="shared" si="8"/>
        <v>1603</v>
      </c>
      <c r="V27" s="372">
        <f t="shared" si="9"/>
        <v>2335</v>
      </c>
      <c r="W27" s="378">
        <f t="shared" si="10"/>
        <v>941</v>
      </c>
      <c r="X27" s="285">
        <f t="shared" si="11"/>
        <v>1408</v>
      </c>
      <c r="Y27" s="277">
        <f t="shared" si="12"/>
        <v>1824</v>
      </c>
      <c r="Z27" s="372">
        <f t="shared" si="13"/>
        <v>2570</v>
      </c>
      <c r="AA27" s="378">
        <f t="shared" si="14"/>
        <v>1013</v>
      </c>
      <c r="AB27" s="285">
        <f t="shared" si="15"/>
        <v>1561</v>
      </c>
      <c r="AC27" s="277">
        <f t="shared" si="16"/>
        <v>2003</v>
      </c>
      <c r="AD27" s="372">
        <f t="shared" si="17"/>
        <v>2902</v>
      </c>
      <c r="AE27" s="378">
        <f t="shared" si="18"/>
        <v>1439</v>
      </c>
      <c r="AF27" s="285">
        <f t="shared" si="19"/>
        <v>2123</v>
      </c>
      <c r="AG27" s="277">
        <f t="shared" si="20"/>
        <v>2698</v>
      </c>
      <c r="AH27" s="372">
        <f t="shared" si="21"/>
        <v>3791</v>
      </c>
    </row>
    <row r="28" spans="3:34" ht="12.75" customHeight="1">
      <c r="C28" s="85"/>
      <c r="D28" s="85"/>
      <c r="E28" s="86">
        <v>1.2762</v>
      </c>
      <c r="F28" s="87">
        <v>818</v>
      </c>
      <c r="G28" s="88">
        <f t="shared" si="0"/>
        <v>32.72</v>
      </c>
      <c r="H28" s="89">
        <f>POWER(J11,E28)</f>
        <v>1</v>
      </c>
      <c r="I28" s="84">
        <f t="shared" si="1"/>
        <v>818</v>
      </c>
      <c r="K28" s="273"/>
      <c r="N28" s="393">
        <v>1320</v>
      </c>
      <c r="O28" s="387">
        <f t="shared" si="2"/>
        <v>702</v>
      </c>
      <c r="P28" s="277">
        <f t="shared" si="3"/>
        <v>1034</v>
      </c>
      <c r="Q28" s="285">
        <f t="shared" si="4"/>
        <v>1414</v>
      </c>
      <c r="R28" s="373">
        <f t="shared" si="5"/>
        <v>2067</v>
      </c>
      <c r="S28" s="379">
        <f t="shared" si="6"/>
        <v>871</v>
      </c>
      <c r="T28" s="277">
        <f t="shared" si="7"/>
        <v>1304</v>
      </c>
      <c r="U28" s="285">
        <f t="shared" si="8"/>
        <v>1764</v>
      </c>
      <c r="V28" s="373">
        <f t="shared" si="9"/>
        <v>2569</v>
      </c>
      <c r="W28" s="379">
        <f t="shared" si="10"/>
        <v>1035</v>
      </c>
      <c r="X28" s="277">
        <f t="shared" si="11"/>
        <v>1548</v>
      </c>
      <c r="Y28" s="285">
        <f t="shared" si="12"/>
        <v>2006</v>
      </c>
      <c r="Z28" s="373">
        <f t="shared" si="13"/>
        <v>2827</v>
      </c>
      <c r="AA28" s="379">
        <f t="shared" si="14"/>
        <v>1114</v>
      </c>
      <c r="AB28" s="277">
        <f t="shared" si="15"/>
        <v>1717</v>
      </c>
      <c r="AC28" s="285">
        <f t="shared" si="16"/>
        <v>2203</v>
      </c>
      <c r="AD28" s="373">
        <f t="shared" si="17"/>
        <v>3192</v>
      </c>
      <c r="AE28" s="379">
        <f t="shared" si="18"/>
        <v>1583</v>
      </c>
      <c r="AF28" s="277">
        <f t="shared" si="19"/>
        <v>2335</v>
      </c>
      <c r="AG28" s="285">
        <f t="shared" si="20"/>
        <v>2967</v>
      </c>
      <c r="AH28" s="373">
        <f t="shared" si="21"/>
        <v>4170</v>
      </c>
    </row>
    <row r="29" spans="3:34" ht="12.75" customHeight="1">
      <c r="C29" s="85"/>
      <c r="D29" s="85"/>
      <c r="E29" s="86">
        <v>1.2783</v>
      </c>
      <c r="F29" s="87">
        <v>887</v>
      </c>
      <c r="G29" s="88">
        <f t="shared" si="0"/>
        <v>35.48</v>
      </c>
      <c r="H29" s="89">
        <f>POWER(J11,E29)</f>
        <v>1</v>
      </c>
      <c r="I29" s="84">
        <f t="shared" si="1"/>
        <v>887</v>
      </c>
      <c r="K29" s="273"/>
      <c r="N29" s="392">
        <v>1400</v>
      </c>
      <c r="O29" s="386">
        <f t="shared" si="2"/>
        <v>745</v>
      </c>
      <c r="P29" s="285">
        <f t="shared" si="3"/>
        <v>1096</v>
      </c>
      <c r="Q29" s="277">
        <f t="shared" si="4"/>
        <v>1499</v>
      </c>
      <c r="R29" s="372">
        <f t="shared" si="5"/>
        <v>2192</v>
      </c>
      <c r="S29" s="378">
        <f t="shared" si="6"/>
        <v>924</v>
      </c>
      <c r="T29" s="285">
        <f t="shared" si="7"/>
        <v>1383</v>
      </c>
      <c r="U29" s="277">
        <f t="shared" si="8"/>
        <v>1870</v>
      </c>
      <c r="V29" s="372">
        <f t="shared" si="9"/>
        <v>2724</v>
      </c>
      <c r="W29" s="378">
        <f t="shared" si="10"/>
        <v>1098</v>
      </c>
      <c r="X29" s="285">
        <f t="shared" si="11"/>
        <v>1642</v>
      </c>
      <c r="Y29" s="277">
        <f t="shared" si="12"/>
        <v>2128</v>
      </c>
      <c r="Z29" s="372">
        <f t="shared" si="13"/>
        <v>2999</v>
      </c>
      <c r="AA29" s="378">
        <f t="shared" si="14"/>
        <v>1182</v>
      </c>
      <c r="AB29" s="285">
        <f t="shared" si="15"/>
        <v>1821</v>
      </c>
      <c r="AC29" s="277">
        <f t="shared" si="16"/>
        <v>2337</v>
      </c>
      <c r="AD29" s="372">
        <f t="shared" si="17"/>
        <v>3385</v>
      </c>
      <c r="AE29" s="378">
        <f t="shared" si="18"/>
        <v>1679</v>
      </c>
      <c r="AF29" s="285">
        <f t="shared" si="19"/>
        <v>2477</v>
      </c>
      <c r="AG29" s="277">
        <f t="shared" si="20"/>
        <v>3147</v>
      </c>
      <c r="AH29" s="372">
        <f t="shared" si="21"/>
        <v>4423</v>
      </c>
    </row>
    <row r="30" spans="3:34" ht="12.75" customHeight="1">
      <c r="C30" s="85"/>
      <c r="D30" s="85"/>
      <c r="E30" s="86">
        <v>1.28</v>
      </c>
      <c r="F30" s="87">
        <v>945</v>
      </c>
      <c r="G30" s="88">
        <f t="shared" si="0"/>
        <v>37.8</v>
      </c>
      <c r="H30" s="89">
        <f>POWER(J11,E30)</f>
        <v>1</v>
      </c>
      <c r="I30" s="84">
        <f t="shared" si="1"/>
        <v>945</v>
      </c>
      <c r="K30" s="273"/>
      <c r="N30" s="393">
        <v>1600</v>
      </c>
      <c r="O30" s="387">
        <f t="shared" si="2"/>
        <v>851</v>
      </c>
      <c r="P30" s="277">
        <f t="shared" si="3"/>
        <v>1253</v>
      </c>
      <c r="Q30" s="285">
        <f t="shared" si="4"/>
        <v>1714</v>
      </c>
      <c r="R30" s="373">
        <f t="shared" si="5"/>
        <v>2506</v>
      </c>
      <c r="S30" s="379">
        <f t="shared" si="6"/>
        <v>1056</v>
      </c>
      <c r="T30" s="277">
        <f t="shared" si="7"/>
        <v>1581</v>
      </c>
      <c r="U30" s="285">
        <f t="shared" si="8"/>
        <v>2138</v>
      </c>
      <c r="V30" s="373">
        <f t="shared" si="9"/>
        <v>3114</v>
      </c>
      <c r="W30" s="379">
        <f t="shared" si="10"/>
        <v>1254</v>
      </c>
      <c r="X30" s="277">
        <f t="shared" si="11"/>
        <v>1877</v>
      </c>
      <c r="Y30" s="285">
        <f t="shared" si="12"/>
        <v>2432</v>
      </c>
      <c r="Z30" s="373">
        <f t="shared" si="13"/>
        <v>3427</v>
      </c>
      <c r="AA30" s="379">
        <f t="shared" si="14"/>
        <v>1350</v>
      </c>
      <c r="AB30" s="277">
        <f t="shared" si="15"/>
        <v>2082</v>
      </c>
      <c r="AC30" s="285">
        <f t="shared" si="16"/>
        <v>2670</v>
      </c>
      <c r="AD30" s="373">
        <f t="shared" si="17"/>
        <v>3869</v>
      </c>
      <c r="AE30" s="379">
        <f t="shared" si="18"/>
        <v>1918</v>
      </c>
      <c r="AF30" s="277">
        <f t="shared" si="19"/>
        <v>2830</v>
      </c>
      <c r="AG30" s="285">
        <f t="shared" si="20"/>
        <v>3597</v>
      </c>
      <c r="AH30" s="373">
        <f t="shared" si="21"/>
        <v>5054</v>
      </c>
    </row>
    <row r="31" spans="3:34" ht="12.75" customHeight="1">
      <c r="C31" s="85"/>
      <c r="D31" s="85"/>
      <c r="E31" s="86">
        <v>1.2899</v>
      </c>
      <c r="F31" s="87">
        <v>1132</v>
      </c>
      <c r="G31" s="88">
        <f t="shared" si="0"/>
        <v>45.28</v>
      </c>
      <c r="H31" s="89">
        <f>POWER(J11,E31)</f>
        <v>1</v>
      </c>
      <c r="I31" s="84">
        <f t="shared" si="1"/>
        <v>1132</v>
      </c>
      <c r="K31" s="273"/>
      <c r="N31" s="392">
        <v>1800</v>
      </c>
      <c r="O31" s="386">
        <f t="shared" si="2"/>
        <v>958</v>
      </c>
      <c r="P31" s="285">
        <f t="shared" si="3"/>
        <v>1409</v>
      </c>
      <c r="Q31" s="277">
        <f t="shared" si="4"/>
        <v>1928</v>
      </c>
      <c r="R31" s="372">
        <f t="shared" si="5"/>
        <v>2819</v>
      </c>
      <c r="S31" s="378">
        <f t="shared" si="6"/>
        <v>1188</v>
      </c>
      <c r="T31" s="285">
        <f t="shared" si="7"/>
        <v>1778</v>
      </c>
      <c r="U31" s="277">
        <f t="shared" si="8"/>
        <v>2405</v>
      </c>
      <c r="V31" s="372">
        <f t="shared" si="9"/>
        <v>3503</v>
      </c>
      <c r="W31" s="378">
        <f t="shared" si="10"/>
        <v>1411</v>
      </c>
      <c r="X31" s="285">
        <f t="shared" si="11"/>
        <v>2111</v>
      </c>
      <c r="Y31" s="277">
        <f t="shared" si="12"/>
        <v>2736</v>
      </c>
      <c r="Z31" s="372">
        <f t="shared" si="13"/>
        <v>3856</v>
      </c>
      <c r="AA31" s="378">
        <f t="shared" si="14"/>
        <v>1519</v>
      </c>
      <c r="AB31" s="285">
        <f t="shared" si="15"/>
        <v>2342</v>
      </c>
      <c r="AC31" s="277">
        <f t="shared" si="16"/>
        <v>3004</v>
      </c>
      <c r="AD31" s="372">
        <f t="shared" si="17"/>
        <v>4352</v>
      </c>
      <c r="AE31" s="378">
        <f t="shared" si="18"/>
        <v>2158</v>
      </c>
      <c r="AF31" s="285">
        <f t="shared" si="19"/>
        <v>3184</v>
      </c>
      <c r="AG31" s="277">
        <f t="shared" si="20"/>
        <v>4046</v>
      </c>
      <c r="AH31" s="372">
        <f t="shared" si="21"/>
        <v>5686</v>
      </c>
    </row>
    <row r="32" spans="3:34" ht="12.75" customHeight="1">
      <c r="C32" s="85"/>
      <c r="D32" s="85"/>
      <c r="E32" s="86">
        <v>1.2998</v>
      </c>
      <c r="F32" s="87">
        <v>1316</v>
      </c>
      <c r="G32" s="88">
        <f t="shared" si="0"/>
        <v>52.64</v>
      </c>
      <c r="H32" s="89">
        <f>POWER(J11,E32)</f>
        <v>1</v>
      </c>
      <c r="I32" s="84">
        <f t="shared" si="1"/>
        <v>1316</v>
      </c>
      <c r="K32" s="273"/>
      <c r="N32" s="393">
        <v>2000</v>
      </c>
      <c r="O32" s="387">
        <f t="shared" si="2"/>
        <v>1064</v>
      </c>
      <c r="P32" s="277">
        <f t="shared" si="3"/>
        <v>1566</v>
      </c>
      <c r="Q32" s="285">
        <f t="shared" si="4"/>
        <v>2142</v>
      </c>
      <c r="R32" s="373">
        <f t="shared" si="5"/>
        <v>3132</v>
      </c>
      <c r="S32" s="379">
        <f t="shared" si="6"/>
        <v>1320</v>
      </c>
      <c r="T32" s="277">
        <f t="shared" si="7"/>
        <v>1976</v>
      </c>
      <c r="U32" s="285">
        <f t="shared" si="8"/>
        <v>2672</v>
      </c>
      <c r="V32" s="373">
        <f t="shared" si="9"/>
        <v>3892</v>
      </c>
      <c r="W32" s="379">
        <f t="shared" si="10"/>
        <v>1568</v>
      </c>
      <c r="X32" s="277">
        <f t="shared" si="11"/>
        <v>2346</v>
      </c>
      <c r="Y32" s="285">
        <f t="shared" si="12"/>
        <v>3040</v>
      </c>
      <c r="Z32" s="373">
        <f t="shared" si="13"/>
        <v>4284</v>
      </c>
      <c r="AA32" s="379">
        <f t="shared" si="14"/>
        <v>1688</v>
      </c>
      <c r="AB32" s="277">
        <f t="shared" si="15"/>
        <v>2602</v>
      </c>
      <c r="AC32" s="285">
        <f t="shared" si="16"/>
        <v>3338</v>
      </c>
      <c r="AD32" s="373">
        <f t="shared" si="17"/>
        <v>4836</v>
      </c>
      <c r="AE32" s="379">
        <f t="shared" si="18"/>
        <v>2398</v>
      </c>
      <c r="AF32" s="277">
        <f t="shared" si="19"/>
        <v>3538</v>
      </c>
      <c r="AG32" s="285">
        <f t="shared" si="20"/>
        <v>4496</v>
      </c>
      <c r="AH32" s="373">
        <f t="shared" si="21"/>
        <v>6318</v>
      </c>
    </row>
    <row r="33" spans="3:34" ht="12.75" customHeight="1">
      <c r="C33" s="79"/>
      <c r="D33" s="79"/>
      <c r="E33" s="80">
        <v>1.3277</v>
      </c>
      <c r="F33" s="81">
        <v>783</v>
      </c>
      <c r="G33" s="82">
        <f t="shared" si="0"/>
        <v>31.32</v>
      </c>
      <c r="H33" s="83">
        <f>POWER(J11,E33)</f>
        <v>1</v>
      </c>
      <c r="I33" s="84">
        <f t="shared" si="1"/>
        <v>783</v>
      </c>
      <c r="K33" s="273"/>
      <c r="N33" s="392">
        <v>2200</v>
      </c>
      <c r="O33" s="386">
        <f t="shared" si="2"/>
        <v>1170</v>
      </c>
      <c r="P33" s="285">
        <f t="shared" si="3"/>
        <v>1723</v>
      </c>
      <c r="Q33" s="277">
        <f t="shared" si="4"/>
        <v>2356</v>
      </c>
      <c r="R33" s="372">
        <f t="shared" si="5"/>
        <v>3445</v>
      </c>
      <c r="S33" s="378">
        <f t="shared" si="6"/>
        <v>1452</v>
      </c>
      <c r="T33" s="285">
        <f t="shared" si="7"/>
        <v>2174</v>
      </c>
      <c r="U33" s="277">
        <f t="shared" si="8"/>
        <v>2939</v>
      </c>
      <c r="V33" s="372">
        <f t="shared" si="9"/>
        <v>4281</v>
      </c>
      <c r="W33" s="378">
        <f t="shared" si="10"/>
        <v>1725</v>
      </c>
      <c r="X33" s="285">
        <f t="shared" si="11"/>
        <v>2581</v>
      </c>
      <c r="Y33" s="277">
        <f t="shared" si="12"/>
        <v>3344</v>
      </c>
      <c r="Z33" s="372">
        <f t="shared" si="13"/>
        <v>4712</v>
      </c>
      <c r="AA33" s="378">
        <f t="shared" si="14"/>
        <v>1857</v>
      </c>
      <c r="AB33" s="285">
        <f t="shared" si="15"/>
        <v>2862</v>
      </c>
      <c r="AC33" s="277">
        <f t="shared" si="16"/>
        <v>3672</v>
      </c>
      <c r="AD33" s="372">
        <f t="shared" si="17"/>
        <v>5320</v>
      </c>
      <c r="AE33" s="378">
        <f t="shared" si="18"/>
        <v>2638</v>
      </c>
      <c r="AF33" s="285">
        <f t="shared" si="19"/>
        <v>3892</v>
      </c>
      <c r="AG33" s="277">
        <f t="shared" si="20"/>
        <v>4946</v>
      </c>
      <c r="AH33" s="372">
        <f t="shared" si="21"/>
        <v>6950</v>
      </c>
    </row>
    <row r="34" spans="3:34" ht="12.75" customHeight="1">
      <c r="C34" s="79"/>
      <c r="D34" s="79"/>
      <c r="E34" s="80">
        <v>1.3265</v>
      </c>
      <c r="F34" s="81">
        <v>988</v>
      </c>
      <c r="G34" s="82">
        <f t="shared" si="0"/>
        <v>39.52</v>
      </c>
      <c r="H34" s="83">
        <f>POWER(J11,E34)</f>
        <v>1</v>
      </c>
      <c r="I34" s="84">
        <f t="shared" si="1"/>
        <v>988</v>
      </c>
      <c r="K34" s="273"/>
      <c r="N34" s="393">
        <v>2400</v>
      </c>
      <c r="O34" s="387">
        <f t="shared" si="2"/>
        <v>1277</v>
      </c>
      <c r="P34" s="277">
        <f t="shared" si="3"/>
        <v>1879</v>
      </c>
      <c r="Q34" s="285">
        <f t="shared" si="4"/>
        <v>2570</v>
      </c>
      <c r="R34" s="373">
        <f t="shared" si="5"/>
        <v>3758</v>
      </c>
      <c r="S34" s="379">
        <f t="shared" si="6"/>
        <v>1584</v>
      </c>
      <c r="T34" s="277">
        <f t="shared" si="7"/>
        <v>2371</v>
      </c>
      <c r="U34" s="285">
        <f t="shared" si="8"/>
        <v>3206</v>
      </c>
      <c r="V34" s="373">
        <f t="shared" si="9"/>
        <v>4670</v>
      </c>
      <c r="W34" s="379">
        <f t="shared" si="10"/>
        <v>1882</v>
      </c>
      <c r="X34" s="277">
        <f t="shared" si="11"/>
        <v>2815</v>
      </c>
      <c r="Y34" s="285">
        <f t="shared" si="12"/>
        <v>3648</v>
      </c>
      <c r="Z34" s="373">
        <f t="shared" si="13"/>
        <v>5141</v>
      </c>
      <c r="AA34" s="379">
        <f t="shared" si="14"/>
        <v>2026</v>
      </c>
      <c r="AB34" s="277">
        <f t="shared" si="15"/>
        <v>3122</v>
      </c>
      <c r="AC34" s="285">
        <f t="shared" si="16"/>
        <v>4006</v>
      </c>
      <c r="AD34" s="373">
        <f t="shared" si="17"/>
        <v>5803</v>
      </c>
      <c r="AE34" s="379">
        <f t="shared" si="18"/>
        <v>2878</v>
      </c>
      <c r="AF34" s="277">
        <f t="shared" si="19"/>
        <v>4246</v>
      </c>
      <c r="AG34" s="285">
        <f t="shared" si="20"/>
        <v>5395</v>
      </c>
      <c r="AH34" s="373">
        <f t="shared" si="21"/>
        <v>7582</v>
      </c>
    </row>
    <row r="35" spans="3:34" ht="12.75" customHeight="1">
      <c r="C35" s="79"/>
      <c r="D35" s="79"/>
      <c r="E35" s="80">
        <v>1.2994</v>
      </c>
      <c r="F35" s="81">
        <v>1173</v>
      </c>
      <c r="G35" s="82">
        <f t="shared" si="0"/>
        <v>46.92</v>
      </c>
      <c r="H35" s="83">
        <f>POWER(J11,E35)</f>
        <v>1</v>
      </c>
      <c r="I35" s="84">
        <f t="shared" si="1"/>
        <v>1173</v>
      </c>
      <c r="K35" s="273"/>
      <c r="N35" s="392">
        <v>2600</v>
      </c>
      <c r="O35" s="386">
        <f t="shared" si="2"/>
        <v>1383</v>
      </c>
      <c r="P35" s="285">
        <f t="shared" si="3"/>
        <v>2036</v>
      </c>
      <c r="Q35" s="277">
        <f t="shared" si="4"/>
        <v>2785</v>
      </c>
      <c r="R35" s="372">
        <f t="shared" si="5"/>
        <v>4072</v>
      </c>
      <c r="S35" s="378">
        <f t="shared" si="6"/>
        <v>1716</v>
      </c>
      <c r="T35" s="285">
        <f t="shared" si="7"/>
        <v>2569</v>
      </c>
      <c r="U35" s="277">
        <f t="shared" si="8"/>
        <v>3474</v>
      </c>
      <c r="V35" s="372">
        <f t="shared" si="9"/>
        <v>5060</v>
      </c>
      <c r="W35" s="378">
        <f t="shared" si="10"/>
        <v>2038</v>
      </c>
      <c r="X35" s="285">
        <f t="shared" si="11"/>
        <v>3050</v>
      </c>
      <c r="Y35" s="277">
        <f t="shared" si="12"/>
        <v>3952</v>
      </c>
      <c r="Z35" s="372">
        <f t="shared" si="13"/>
        <v>5569</v>
      </c>
      <c r="AA35" s="378">
        <f t="shared" si="14"/>
        <v>2194</v>
      </c>
      <c r="AB35" s="285">
        <f t="shared" si="15"/>
        <v>3383</v>
      </c>
      <c r="AC35" s="277">
        <f t="shared" si="16"/>
        <v>4339</v>
      </c>
      <c r="AD35" s="372">
        <f t="shared" si="17"/>
        <v>6287</v>
      </c>
      <c r="AE35" s="378">
        <f t="shared" si="18"/>
        <v>3117</v>
      </c>
      <c r="AF35" s="285">
        <f t="shared" si="19"/>
        <v>4599</v>
      </c>
      <c r="AG35" s="277">
        <f t="shared" si="20"/>
        <v>5845</v>
      </c>
      <c r="AH35" s="372">
        <f t="shared" si="21"/>
        <v>8213</v>
      </c>
    </row>
    <row r="36" spans="3:34" ht="12.75" customHeight="1">
      <c r="C36" s="79"/>
      <c r="D36" s="79"/>
      <c r="E36" s="80">
        <v>1.3022</v>
      </c>
      <c r="F36" s="81">
        <v>1301</v>
      </c>
      <c r="G36" s="82">
        <f t="shared" si="0"/>
        <v>52.04</v>
      </c>
      <c r="H36" s="83">
        <f>POWER(J11,E36)</f>
        <v>1</v>
      </c>
      <c r="I36" s="84">
        <f t="shared" si="1"/>
        <v>1301</v>
      </c>
      <c r="K36" s="273"/>
      <c r="N36" s="393">
        <v>2800</v>
      </c>
      <c r="O36" s="387">
        <f t="shared" si="2"/>
        <v>1490</v>
      </c>
      <c r="P36" s="277">
        <f t="shared" si="3"/>
        <v>2192</v>
      </c>
      <c r="Q36" s="285">
        <f t="shared" si="4"/>
        <v>2999</v>
      </c>
      <c r="R36" s="373">
        <f t="shared" si="5"/>
        <v>4385</v>
      </c>
      <c r="S36" s="379">
        <f t="shared" si="6"/>
        <v>1848</v>
      </c>
      <c r="T36" s="277">
        <f t="shared" si="7"/>
        <v>2766</v>
      </c>
      <c r="U36" s="285">
        <f t="shared" si="8"/>
        <v>3741</v>
      </c>
      <c r="V36" s="373">
        <f t="shared" si="9"/>
        <v>5449</v>
      </c>
      <c r="W36" s="379">
        <f t="shared" si="10"/>
        <v>2195</v>
      </c>
      <c r="X36" s="277">
        <f t="shared" si="11"/>
        <v>3284</v>
      </c>
      <c r="Y36" s="285">
        <f t="shared" si="12"/>
        <v>4256</v>
      </c>
      <c r="Z36" s="373">
        <f t="shared" si="13"/>
        <v>5998</v>
      </c>
      <c r="AA36" s="379">
        <f t="shared" si="14"/>
        <v>2363</v>
      </c>
      <c r="AB36" s="277">
        <f t="shared" si="15"/>
        <v>3643</v>
      </c>
      <c r="AC36" s="285">
        <f t="shared" si="16"/>
        <v>4673</v>
      </c>
      <c r="AD36" s="373">
        <f t="shared" si="17"/>
        <v>6770</v>
      </c>
      <c r="AE36" s="379">
        <f t="shared" si="18"/>
        <v>3357</v>
      </c>
      <c r="AF36" s="277">
        <f t="shared" si="19"/>
        <v>4953</v>
      </c>
      <c r="AG36" s="285">
        <f t="shared" si="20"/>
        <v>6294</v>
      </c>
      <c r="AH36" s="373">
        <f t="shared" si="21"/>
        <v>8845</v>
      </c>
    </row>
    <row r="37" spans="3:34" ht="12.75" customHeight="1">
      <c r="C37" s="79"/>
      <c r="D37" s="79"/>
      <c r="E37" s="80">
        <v>1.3262</v>
      </c>
      <c r="F37" s="81">
        <v>1769</v>
      </c>
      <c r="G37" s="82">
        <f t="shared" si="0"/>
        <v>70.76</v>
      </c>
      <c r="H37" s="83">
        <f>POWER(J11,E37)</f>
        <v>1</v>
      </c>
      <c r="I37" s="84">
        <f t="shared" si="1"/>
        <v>1769</v>
      </c>
      <c r="K37" s="273"/>
      <c r="N37" s="392">
        <v>3000</v>
      </c>
      <c r="O37" s="386">
        <f t="shared" si="2"/>
        <v>1596</v>
      </c>
      <c r="P37" s="285">
        <f t="shared" si="3"/>
        <v>2349</v>
      </c>
      <c r="Q37" s="277">
        <f t="shared" si="4"/>
        <v>3213</v>
      </c>
      <c r="R37" s="372">
        <f t="shared" si="5"/>
        <v>4698</v>
      </c>
      <c r="S37" s="378">
        <f t="shared" si="6"/>
        <v>1980</v>
      </c>
      <c r="T37" s="285">
        <f t="shared" si="7"/>
        <v>2964</v>
      </c>
      <c r="U37" s="277">
        <f t="shared" si="8"/>
        <v>4008</v>
      </c>
      <c r="V37" s="372">
        <f t="shared" si="9"/>
        <v>5838</v>
      </c>
      <c r="W37" s="378">
        <f t="shared" si="10"/>
        <v>2352</v>
      </c>
      <c r="X37" s="285">
        <f t="shared" si="11"/>
        <v>3519</v>
      </c>
      <c r="Y37" s="277">
        <f t="shared" si="12"/>
        <v>4560</v>
      </c>
      <c r="Z37" s="372">
        <f t="shared" si="13"/>
        <v>6426</v>
      </c>
      <c r="AA37" s="378">
        <f t="shared" si="14"/>
        <v>2532</v>
      </c>
      <c r="AB37" s="285">
        <f t="shared" si="15"/>
        <v>3903</v>
      </c>
      <c r="AC37" s="277">
        <f t="shared" si="16"/>
        <v>5007</v>
      </c>
      <c r="AD37" s="372">
        <f t="shared" si="17"/>
        <v>7254</v>
      </c>
      <c r="AE37" s="378">
        <f t="shared" si="18"/>
        <v>3597</v>
      </c>
      <c r="AF37" s="285">
        <f t="shared" si="19"/>
        <v>5307</v>
      </c>
      <c r="AG37" s="277">
        <f t="shared" si="20"/>
        <v>6744</v>
      </c>
      <c r="AH37" s="372">
        <f t="shared" si="21"/>
        <v>9477</v>
      </c>
    </row>
    <row r="38" spans="3:34" ht="12.75" customHeight="1" thickBot="1">
      <c r="C38" s="90"/>
      <c r="D38" s="90"/>
      <c r="E38" s="91">
        <v>1.3081</v>
      </c>
      <c r="F38" s="92">
        <v>1071</v>
      </c>
      <c r="G38" s="93">
        <f t="shared" si="0"/>
        <v>42.84</v>
      </c>
      <c r="H38" s="94">
        <f>POWER(J11,E38)</f>
        <v>1</v>
      </c>
      <c r="I38" s="84">
        <f t="shared" si="1"/>
        <v>1071</v>
      </c>
      <c r="K38" s="273"/>
      <c r="N38" s="394" t="s">
        <v>96</v>
      </c>
      <c r="O38" s="349">
        <f>ROUND(n_11P_300,3)</f>
        <v>1.311</v>
      </c>
      <c r="P38" s="345">
        <f>ROUND(n_21P_300,3)</f>
        <v>1.328</v>
      </c>
      <c r="Q38" s="345">
        <f>ROUND(n_22P_300,3)</f>
        <v>1.308</v>
      </c>
      <c r="R38" s="346">
        <f>ROUND(n_33P_300,3)</f>
        <v>1.314</v>
      </c>
      <c r="S38" s="349">
        <f>ROUND(n_11P_400,3)</f>
        <v>1.321</v>
      </c>
      <c r="T38" s="345">
        <f>ROUND(n_21P_400,3)</f>
        <v>1.327</v>
      </c>
      <c r="U38" s="345">
        <f>ROUND(n_22P_400,3)</f>
        <v>1.328</v>
      </c>
      <c r="V38" s="346">
        <f>ROUND(n_33P_400,3)</f>
        <v>1.342</v>
      </c>
      <c r="W38" s="349">
        <f>ROUND(n_11P_500,3)</f>
        <v>1.313</v>
      </c>
      <c r="X38" s="345">
        <f>ROUND(n_21P_500,3)</f>
        <v>1.299</v>
      </c>
      <c r="Y38" s="345">
        <f>ROUND(n_22P_500,3)</f>
        <v>1.322</v>
      </c>
      <c r="Z38" s="346">
        <f>ROUND(n_33P_500,3)</f>
        <v>1.327</v>
      </c>
      <c r="AA38" s="349">
        <f>ROUND(n_11P_600,3)</f>
        <v>1.303</v>
      </c>
      <c r="AB38" s="345">
        <f>ROUND(n_21P_600,3)</f>
        <v>1.302</v>
      </c>
      <c r="AC38" s="345">
        <f>ROUND(n_22P_600,3)</f>
        <v>1.337</v>
      </c>
      <c r="AD38" s="346">
        <f>ROUND(n_33P_600,3)</f>
        <v>1.333</v>
      </c>
      <c r="AE38" s="349">
        <f>ROUND(n_11P_900,3)</f>
        <v>1.328</v>
      </c>
      <c r="AF38" s="345">
        <f>ROUND(n_21P_900,3)</f>
        <v>1.326</v>
      </c>
      <c r="AG38" s="345">
        <f>ROUND(n_22P_900,3)</f>
        <v>1.349</v>
      </c>
      <c r="AH38" s="346">
        <f>ROUND(n_33P_900,3)</f>
        <v>1.336</v>
      </c>
    </row>
    <row r="39" spans="3:11" ht="12.75">
      <c r="C39" s="90"/>
      <c r="D39" s="90"/>
      <c r="E39" s="91">
        <v>1.3281</v>
      </c>
      <c r="F39" s="92">
        <v>1336</v>
      </c>
      <c r="G39" s="93">
        <f t="shared" si="0"/>
        <v>53.44</v>
      </c>
      <c r="H39" s="94">
        <f>POWER(J11,E39)</f>
        <v>1</v>
      </c>
      <c r="I39" s="84">
        <f t="shared" si="1"/>
        <v>1336</v>
      </c>
      <c r="K39" s="273"/>
    </row>
    <row r="40" spans="3:11" ht="12.75">
      <c r="C40" s="90"/>
      <c r="D40" s="90"/>
      <c r="E40" s="91">
        <v>1.322</v>
      </c>
      <c r="F40" s="92">
        <v>1520</v>
      </c>
      <c r="G40" s="93">
        <f t="shared" si="0"/>
        <v>60.8</v>
      </c>
      <c r="H40" s="94">
        <f>POWER(J11,E40)</f>
        <v>1</v>
      </c>
      <c r="I40" s="84">
        <f t="shared" si="1"/>
        <v>1520</v>
      </c>
      <c r="K40" s="273"/>
    </row>
    <row r="41" spans="3:11" ht="12.75">
      <c r="C41" s="90"/>
      <c r="D41" s="90"/>
      <c r="E41" s="91">
        <v>1.3371</v>
      </c>
      <c r="F41" s="92">
        <v>1669</v>
      </c>
      <c r="G41" s="93">
        <f t="shared" si="0"/>
        <v>66.76</v>
      </c>
      <c r="H41" s="94">
        <f>POWER(J11,E41)</f>
        <v>1</v>
      </c>
      <c r="I41" s="84">
        <f t="shared" si="1"/>
        <v>1669</v>
      </c>
      <c r="K41" s="273"/>
    </row>
    <row r="42" spans="3:11" ht="12.75">
      <c r="C42" s="90"/>
      <c r="D42" s="90"/>
      <c r="E42" s="91">
        <v>1.3487</v>
      </c>
      <c r="F42" s="92">
        <v>2248</v>
      </c>
      <c r="G42" s="93">
        <f t="shared" si="0"/>
        <v>89.92</v>
      </c>
      <c r="H42" s="94">
        <f>POWER(J11,E42)</f>
        <v>1</v>
      </c>
      <c r="I42" s="84">
        <f t="shared" si="1"/>
        <v>2248</v>
      </c>
      <c r="K42" s="273"/>
    </row>
    <row r="43" spans="3:11" ht="12.75">
      <c r="C43" s="79"/>
      <c r="D43" s="79"/>
      <c r="E43" s="80">
        <v>1.3136</v>
      </c>
      <c r="F43" s="81">
        <v>1566</v>
      </c>
      <c r="G43" s="82">
        <f t="shared" si="0"/>
        <v>62.64</v>
      </c>
      <c r="H43" s="83">
        <f>POWER(J11,E43)</f>
        <v>1</v>
      </c>
      <c r="I43" s="84">
        <f t="shared" si="1"/>
        <v>1566</v>
      </c>
      <c r="K43" s="273"/>
    </row>
    <row r="44" spans="3:11" ht="12.75">
      <c r="C44" s="79"/>
      <c r="D44" s="79"/>
      <c r="E44" s="80">
        <v>1.3422</v>
      </c>
      <c r="F44" s="81">
        <v>1946</v>
      </c>
      <c r="G44" s="82">
        <f t="shared" si="0"/>
        <v>77.84</v>
      </c>
      <c r="H44" s="83">
        <f>POWER(J11,E44)</f>
        <v>1</v>
      </c>
      <c r="I44" s="84">
        <f t="shared" si="1"/>
        <v>1946</v>
      </c>
      <c r="K44" s="273"/>
    </row>
    <row r="45" spans="3:11" ht="12.75">
      <c r="C45" s="79"/>
      <c r="D45" s="79"/>
      <c r="E45" s="80">
        <v>1.327</v>
      </c>
      <c r="F45" s="81">
        <v>2142</v>
      </c>
      <c r="G45" s="82">
        <f t="shared" si="0"/>
        <v>85.68</v>
      </c>
      <c r="H45" s="83">
        <f>POWER(J11,E45)</f>
        <v>1</v>
      </c>
      <c r="I45" s="84">
        <f t="shared" si="1"/>
        <v>2142</v>
      </c>
      <c r="K45" s="273"/>
    </row>
    <row r="46" spans="3:11" ht="12.75">
      <c r="C46" s="79"/>
      <c r="D46" s="79"/>
      <c r="E46" s="80">
        <v>1.3334</v>
      </c>
      <c r="F46" s="81">
        <v>2418</v>
      </c>
      <c r="G46" s="82">
        <f t="shared" si="0"/>
        <v>96.72</v>
      </c>
      <c r="H46" s="83">
        <f>POWER(J11,E46)</f>
        <v>1</v>
      </c>
      <c r="I46" s="84">
        <f t="shared" si="1"/>
        <v>2418</v>
      </c>
      <c r="K46" s="273"/>
    </row>
    <row r="47" spans="3:11" ht="12.75">
      <c r="C47" s="79"/>
      <c r="D47" s="79"/>
      <c r="E47" s="80">
        <v>1.3361</v>
      </c>
      <c r="F47" s="81">
        <v>3159</v>
      </c>
      <c r="G47" s="82">
        <f t="shared" si="0"/>
        <v>126.36</v>
      </c>
      <c r="H47" s="83">
        <f>POWER(J11,E47)</f>
        <v>1</v>
      </c>
      <c r="I47" s="84">
        <f t="shared" si="1"/>
        <v>3159</v>
      </c>
      <c r="K47" s="273"/>
    </row>
  </sheetData>
  <sheetProtection password="DC1D" sheet="1" objects="1" scenarios="1" selectLockedCells="1"/>
  <mergeCells count="7">
    <mergeCell ref="B15:F15"/>
    <mergeCell ref="N13:AH13"/>
    <mergeCell ref="AE16:AH16"/>
    <mergeCell ref="O16:R16"/>
    <mergeCell ref="S16:V16"/>
    <mergeCell ref="W16:Z16"/>
    <mergeCell ref="AA16:AD16"/>
  </mergeCells>
  <printOptions horizontalCentered="1"/>
  <pageMargins left="0.1968503937007874" right="0.1968503937007874" top="0.984251968503937" bottom="0.984251968503937" header="0.5118110236220472" footer="0.2362204724409449"/>
  <pageSetup horizontalDpi="300" verticalDpi="300" orientation="landscape" paperSize="9" r:id="rId2"/>
  <headerFooter alignWithMargins="0">
    <oddHeader xml:space="preserve">&amp;C&amp;A </oddHeader>
    <oddFooter>&amp;CSeite &amp;P von &amp;N&amp;R&amp;8&amp;F
Rettig Austria GmbH
Research and Development
&amp;D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indexed="41"/>
  </sheetPr>
  <dimension ref="A1:BH42"/>
  <sheetViews>
    <sheetView showGridLines="0" zoomScalePageLayoutView="0" workbookViewId="0" topLeftCell="A1">
      <pane xSplit="2" topLeftCell="C1" activePane="topRight" state="frozen"/>
      <selection pane="topLeft" activeCell="AI46" sqref="AI46"/>
      <selection pane="topRight" activeCell="B10" sqref="B10:B12"/>
    </sheetView>
  </sheetViews>
  <sheetFormatPr defaultColWidth="11.57421875" defaultRowHeight="12.75"/>
  <cols>
    <col min="1" max="1" width="27.8515625" style="2" customWidth="1"/>
    <col min="2" max="2" width="9.7109375" style="7" customWidth="1"/>
    <col min="3" max="3" width="8.7109375" style="2" hidden="1" customWidth="1"/>
    <col min="4" max="4" width="12.7109375" style="2" hidden="1" customWidth="1"/>
    <col min="5" max="5" width="12.28125" style="2" hidden="1" customWidth="1"/>
    <col min="6" max="6" width="15.140625" style="24" hidden="1" customWidth="1"/>
    <col min="7" max="7" width="12.28125" style="3" hidden="1" customWidth="1"/>
    <col min="8" max="9" width="11.57421875" style="2" hidden="1" customWidth="1"/>
    <col min="10" max="10" width="3.140625" style="2" customWidth="1"/>
    <col min="11" max="11" width="8.7109375" style="4" customWidth="1"/>
    <col min="12" max="18" width="8.7109375" style="5" customWidth="1"/>
    <col min="19" max="26" width="8.7109375" style="4" customWidth="1"/>
    <col min="27" max="46" width="4.00390625" style="4" customWidth="1"/>
    <col min="47" max="49" width="4.7109375" style="6" customWidth="1"/>
    <col min="50" max="60" width="11.57421875" style="6" customWidth="1"/>
    <col min="61" max="16384" width="11.57421875" style="2" customWidth="1"/>
  </cols>
  <sheetData>
    <row r="1" ht="20.25" hidden="1">
      <c r="B1" s="302"/>
    </row>
    <row r="2" spans="4:7" ht="12.75">
      <c r="D2" s="7"/>
      <c r="E2" s="7"/>
      <c r="F2" s="25"/>
      <c r="G2" s="8"/>
    </row>
    <row r="3" spans="4:7" ht="12.75">
      <c r="D3" s="7"/>
      <c r="E3" s="7"/>
      <c r="F3" s="25"/>
      <c r="G3" s="8"/>
    </row>
    <row r="4" spans="4:7" ht="12.75">
      <c r="D4" s="7"/>
      <c r="E4" s="7"/>
      <c r="F4" s="25"/>
      <c r="G4" s="8"/>
    </row>
    <row r="5" spans="4:7" ht="13.5" thickBot="1">
      <c r="D5" s="7"/>
      <c r="E5" s="7"/>
      <c r="F5" s="25"/>
      <c r="G5" s="8"/>
    </row>
    <row r="6" spans="2:6" ht="13.5" hidden="1" thickBot="1">
      <c r="B6" s="7">
        <v>75</v>
      </c>
      <c r="C6" s="7" t="s">
        <v>47</v>
      </c>
      <c r="D6" s="7" t="s">
        <v>0</v>
      </c>
      <c r="E6" s="7" t="s">
        <v>71</v>
      </c>
      <c r="F6" s="25"/>
    </row>
    <row r="7" spans="2:6" ht="13.5" hidden="1" thickBot="1">
      <c r="B7" s="7">
        <v>65</v>
      </c>
      <c r="C7" s="7" t="s">
        <v>47</v>
      </c>
      <c r="D7" s="7">
        <f>(B6+B7)/2-B8</f>
        <v>50</v>
      </c>
      <c r="E7" s="8">
        <f>(B6-B7)/LN((B6-B8)/(B7-B8))</f>
        <v>49.83288654563971</v>
      </c>
      <c r="F7" s="25"/>
    </row>
    <row r="8" spans="2:7" ht="13.5" hidden="1" thickBot="1">
      <c r="B8" s="7">
        <v>20</v>
      </c>
      <c r="C8" s="7" t="s">
        <v>47</v>
      </c>
      <c r="D8" s="7"/>
      <c r="E8" s="7"/>
      <c r="F8" s="25"/>
      <c r="G8" s="8"/>
    </row>
    <row r="9" spans="2:46" ht="19.5" hidden="1" thickBot="1">
      <c r="B9" s="303"/>
      <c r="D9" s="7"/>
      <c r="E9" s="7"/>
      <c r="F9" s="25"/>
      <c r="G9" s="8"/>
      <c r="K9" s="21" t="s">
        <v>115</v>
      </c>
      <c r="L9" s="22"/>
      <c r="M9" s="22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  <c r="Y9" s="23"/>
      <c r="Z9" s="159"/>
      <c r="AC9" s="95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 ht="18.75">
      <c r="A10" s="358" t="str">
        <f>C10</f>
        <v>Temperatuur sissevoolul [°C]</v>
      </c>
      <c r="B10" s="359">
        <v>75</v>
      </c>
      <c r="C10" s="172" t="s">
        <v>97</v>
      </c>
      <c r="D10" s="7"/>
      <c r="E10" s="25" t="s">
        <v>0</v>
      </c>
      <c r="F10" s="7" t="s">
        <v>71</v>
      </c>
      <c r="G10" s="8" t="s">
        <v>70</v>
      </c>
      <c r="H10" s="8" t="s">
        <v>73</v>
      </c>
      <c r="K10" s="292" t="s">
        <v>120</v>
      </c>
      <c r="L10" s="22"/>
      <c r="M10" s="22"/>
      <c r="N10" s="22"/>
      <c r="O10" s="22"/>
      <c r="P10" s="22"/>
      <c r="Q10" s="22"/>
      <c r="R10" s="22"/>
      <c r="S10" s="23"/>
      <c r="T10" s="23"/>
      <c r="U10" s="23"/>
      <c r="V10" s="23"/>
      <c r="W10" s="23"/>
      <c r="X10" s="23"/>
      <c r="Y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 ht="18.75">
      <c r="A11" s="360" t="str">
        <f>C11</f>
        <v>Temperatuur väljavoolul [°C]</v>
      </c>
      <c r="B11" s="361">
        <v>65</v>
      </c>
      <c r="C11" s="172" t="s">
        <v>98</v>
      </c>
      <c r="D11" s="7"/>
      <c r="E11" s="25">
        <f>(B10+B11)/2-B12</f>
        <v>50</v>
      </c>
      <c r="F11" s="8">
        <f>(B10-B11)/LN((B10-B12)/(B11-B12))</f>
        <v>49.83288654563971</v>
      </c>
      <c r="G11" s="8">
        <f>(B11-B12)/(B10-B12)</f>
        <v>0.8181818181818182</v>
      </c>
      <c r="H11" s="29">
        <f>IF(G11&lt;0.7,F11/E7,E11/D7)</f>
        <v>1</v>
      </c>
      <c r="K11" s="21"/>
      <c r="L11" s="22"/>
      <c r="M11" s="22"/>
      <c r="N11" s="22"/>
      <c r="O11" s="22"/>
      <c r="P11" s="22"/>
      <c r="Q11" s="22"/>
      <c r="R11" s="22"/>
      <c r="S11" s="23"/>
      <c r="T11" s="23"/>
      <c r="U11" s="23"/>
      <c r="V11" s="23"/>
      <c r="W11" s="23"/>
      <c r="X11" s="23"/>
      <c r="Y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1:60" s="10" customFormat="1" ht="15.75" customHeight="1" thickBot="1">
      <c r="A12" s="362" t="str">
        <f>C12</f>
        <v>Ruumi temperatuur [°C]</v>
      </c>
      <c r="B12" s="363">
        <v>20</v>
      </c>
      <c r="C12" s="260" t="s">
        <v>99</v>
      </c>
      <c r="E12" s="26"/>
      <c r="G12" s="12"/>
      <c r="K12" s="23"/>
      <c r="L12" s="22"/>
      <c r="M12" s="22"/>
      <c r="N12" s="22"/>
      <c r="O12" s="22"/>
      <c r="P12" s="22"/>
      <c r="Q12" s="22"/>
      <c r="R12" s="22"/>
      <c r="S12" s="23"/>
      <c r="T12" s="23"/>
      <c r="U12" s="23"/>
      <c r="V12" s="23"/>
      <c r="W12" s="23"/>
      <c r="X12" s="23"/>
      <c r="Y12" s="23"/>
      <c r="Z12" s="4"/>
      <c r="AA12" s="4"/>
      <c r="AB12" s="4"/>
      <c r="AC12" s="4"/>
      <c r="AD12" s="4"/>
      <c r="AE12" s="4"/>
      <c r="AF12" s="4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2:60" s="10" customFormat="1" ht="12.75">
      <c r="B13" s="11"/>
      <c r="C13" s="10" t="s">
        <v>16</v>
      </c>
      <c r="F13" s="26"/>
      <c r="G13" s="12"/>
      <c r="K13" s="423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5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2:60" s="10" customFormat="1" ht="13.5" thickBot="1">
      <c r="B14" s="11"/>
      <c r="F14" s="26"/>
      <c r="G14" s="12"/>
      <c r="K14" s="233" t="s">
        <v>116</v>
      </c>
      <c r="L14" s="72"/>
      <c r="M14" s="72"/>
      <c r="N14" s="72"/>
      <c r="O14" s="72"/>
      <c r="P14" s="72"/>
      <c r="Q14" s="72"/>
      <c r="R14" s="72"/>
      <c r="S14" s="73"/>
      <c r="T14" s="73"/>
      <c r="U14" s="73"/>
      <c r="V14" s="73"/>
      <c r="W14" s="73"/>
      <c r="X14" s="73"/>
      <c r="Y14" s="73"/>
      <c r="Z14" s="183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1:60" s="10" customFormat="1" ht="13.5" thickBot="1">
      <c r="A15" s="355" t="s">
        <v>0</v>
      </c>
      <c r="B15" s="397">
        <f>E11</f>
        <v>50</v>
      </c>
      <c r="F15" s="26"/>
      <c r="G15" s="12"/>
      <c r="K15" s="353" t="str">
        <f>C10&amp;" "&amp;B10&amp;" "&amp;C13&amp;"               "&amp;C11&amp;" "&amp;B11&amp;" "&amp;C13&amp;"               "&amp;C12&amp;" "&amp;B12&amp;" "&amp;C13</f>
        <v>Temperatuur sissevoolul [°C] 75                 Temperatuur väljavoolul [°C] 65                 Ruumi temperatuur [°C] 20  </v>
      </c>
      <c r="L15" s="350"/>
      <c r="M15" s="350"/>
      <c r="N15" s="350"/>
      <c r="O15" s="350"/>
      <c r="P15" s="351"/>
      <c r="Q15" s="350"/>
      <c r="R15" s="350"/>
      <c r="S15" s="347"/>
      <c r="T15" s="347"/>
      <c r="U15" s="347"/>
      <c r="V15" s="347"/>
      <c r="W15" s="347"/>
      <c r="X15" s="347"/>
      <c r="Y15" s="347"/>
      <c r="Z15" s="348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1:60" s="14" customFormat="1" ht="12.75">
      <c r="A16" s="356" t="s">
        <v>71</v>
      </c>
      <c r="B16" s="398">
        <f>F11</f>
        <v>49.83288654563971</v>
      </c>
      <c r="C16" s="15" t="s">
        <v>2</v>
      </c>
      <c r="D16" s="16" t="s">
        <v>4</v>
      </c>
      <c r="E16" s="15" t="s">
        <v>3</v>
      </c>
      <c r="F16" s="27" t="s">
        <v>5</v>
      </c>
      <c r="K16" s="354" t="s">
        <v>101</v>
      </c>
      <c r="L16" s="420">
        <v>300</v>
      </c>
      <c r="M16" s="421"/>
      <c r="N16" s="422"/>
      <c r="O16" s="420">
        <v>400</v>
      </c>
      <c r="P16" s="421"/>
      <c r="Q16" s="422"/>
      <c r="R16" s="420">
        <v>500</v>
      </c>
      <c r="S16" s="421"/>
      <c r="T16" s="422"/>
      <c r="U16" s="420">
        <v>600</v>
      </c>
      <c r="V16" s="421"/>
      <c r="W16" s="422"/>
      <c r="X16" s="420">
        <v>900</v>
      </c>
      <c r="Y16" s="421"/>
      <c r="Z16" s="42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</row>
    <row r="17" spans="1:40" s="14" customFormat="1" ht="12.75">
      <c r="A17" s="356" t="s">
        <v>70</v>
      </c>
      <c r="B17" s="398">
        <f>G11</f>
        <v>0.8181818181818182</v>
      </c>
      <c r="C17" s="20"/>
      <c r="D17" s="16"/>
      <c r="E17" s="15" t="s">
        <v>6</v>
      </c>
      <c r="F17" s="27"/>
      <c r="K17" s="209" t="s">
        <v>100</v>
      </c>
      <c r="L17" s="210">
        <v>10</v>
      </c>
      <c r="M17" s="205">
        <v>20</v>
      </c>
      <c r="N17" s="206">
        <v>30</v>
      </c>
      <c r="O17" s="352">
        <v>10</v>
      </c>
      <c r="P17" s="211">
        <v>20</v>
      </c>
      <c r="Q17" s="212">
        <v>30</v>
      </c>
      <c r="R17" s="210">
        <v>10</v>
      </c>
      <c r="S17" s="211">
        <v>20</v>
      </c>
      <c r="T17" s="212">
        <v>30</v>
      </c>
      <c r="U17" s="210">
        <v>10</v>
      </c>
      <c r="V17" s="211">
        <v>20</v>
      </c>
      <c r="W17" s="212">
        <v>30</v>
      </c>
      <c r="X17" s="210">
        <v>10</v>
      </c>
      <c r="Y17" s="211">
        <v>20</v>
      </c>
      <c r="Z17" s="344">
        <v>30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s="10" customFormat="1" ht="13.5" thickBot="1">
      <c r="A18" s="357" t="s">
        <v>111</v>
      </c>
      <c r="B18" s="399">
        <f>H11</f>
        <v>1</v>
      </c>
      <c r="C18" s="40">
        <v>1.2741</v>
      </c>
      <c r="D18" s="18">
        <v>348</v>
      </c>
      <c r="E18" s="11">
        <f>POWER(H11,C18)</f>
        <v>1</v>
      </c>
      <c r="F18" s="28">
        <f aca="true" t="shared" si="0" ref="F18:F32">D18*E18</f>
        <v>348</v>
      </c>
      <c r="K18" s="213" t="s">
        <v>102</v>
      </c>
      <c r="L18" s="214" t="s">
        <v>91</v>
      </c>
      <c r="M18" s="205" t="s">
        <v>92</v>
      </c>
      <c r="N18" s="206" t="s">
        <v>93</v>
      </c>
      <c r="O18" s="214" t="s">
        <v>91</v>
      </c>
      <c r="P18" s="205" t="s">
        <v>92</v>
      </c>
      <c r="Q18" s="206" t="s">
        <v>93</v>
      </c>
      <c r="R18" s="214" t="s">
        <v>91</v>
      </c>
      <c r="S18" s="205" t="s">
        <v>92</v>
      </c>
      <c r="T18" s="206" t="s">
        <v>93</v>
      </c>
      <c r="U18" s="214" t="s">
        <v>91</v>
      </c>
      <c r="V18" s="205" t="s">
        <v>92</v>
      </c>
      <c r="W18" s="206" t="s">
        <v>93</v>
      </c>
      <c r="X18" s="214" t="s">
        <v>91</v>
      </c>
      <c r="Y18" s="205" t="s">
        <v>92</v>
      </c>
      <c r="Z18" s="206" t="s">
        <v>93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2:60" ht="12.75">
      <c r="B19" s="11"/>
      <c r="C19" s="40">
        <v>1.2829</v>
      </c>
      <c r="D19" s="18">
        <v>444</v>
      </c>
      <c r="E19" s="11">
        <f>POWER(H11,C19)</f>
        <v>1</v>
      </c>
      <c r="F19" s="28">
        <f t="shared" si="0"/>
        <v>444</v>
      </c>
      <c r="G19" s="10"/>
      <c r="H19" s="40"/>
      <c r="J19" s="10"/>
      <c r="K19" s="218">
        <v>400</v>
      </c>
      <c r="L19" s="219">
        <f>ROUND(F18*K19/1000,0)</f>
        <v>139</v>
      </c>
      <c r="M19" s="220">
        <f>ROUND(F23*K19/1000,0)</f>
        <v>236</v>
      </c>
      <c r="N19" s="223">
        <f>ROUND(F28*K19/1000,0)</f>
        <v>341</v>
      </c>
      <c r="O19" s="224">
        <f>ROUND(F19*K19/1000,0)</f>
        <v>178</v>
      </c>
      <c r="P19" s="221">
        <f>ROUND(F24*K19/1000,0)</f>
        <v>298</v>
      </c>
      <c r="Q19" s="222">
        <f>ROUND(F29*K19/1000,0)</f>
        <v>428</v>
      </c>
      <c r="R19" s="219">
        <f>ROUND(F20*K19/1000,0)</f>
        <v>214</v>
      </c>
      <c r="S19" s="220">
        <f>ROUND(F25*K19/1000,0)</f>
        <v>357</v>
      </c>
      <c r="T19" s="223">
        <f>ROUND(F30*K19/1000,0)</f>
        <v>510</v>
      </c>
      <c r="U19" s="224">
        <f>ROUND(F21*K19/1000,0)</f>
        <v>250</v>
      </c>
      <c r="V19" s="221">
        <f>ROUND(F26*K19/1000,0)</f>
        <v>414</v>
      </c>
      <c r="W19" s="222">
        <f>ROUND(F31*K19/1000,0)</f>
        <v>591</v>
      </c>
      <c r="X19" s="219">
        <f>ROUND(F22*K19/1000,0)</f>
        <v>351</v>
      </c>
      <c r="Y19" s="220">
        <f>ROUND(F27*K19/1000,0)</f>
        <v>576</v>
      </c>
      <c r="Z19" s="223">
        <f>ROUND(F32*K19/1000,0)</f>
        <v>823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2:60" ht="12.75">
      <c r="B20" s="11"/>
      <c r="C20" s="40">
        <v>1.2918</v>
      </c>
      <c r="D20" s="18">
        <v>536</v>
      </c>
      <c r="E20" s="11">
        <f>POWER(H11,C20)</f>
        <v>1</v>
      </c>
      <c r="F20" s="28">
        <f t="shared" si="0"/>
        <v>536</v>
      </c>
      <c r="G20" s="10"/>
      <c r="H20" s="40"/>
      <c r="J20" s="10"/>
      <c r="K20" s="226">
        <v>520</v>
      </c>
      <c r="L20" s="224">
        <f>ROUND(F18*K20/1000,0)</f>
        <v>181</v>
      </c>
      <c r="M20" s="221">
        <f>ROUND(F23*K20/1000,0)</f>
        <v>307</v>
      </c>
      <c r="N20" s="222">
        <f>ROUND(F28*K20/1000,0)</f>
        <v>444</v>
      </c>
      <c r="O20" s="219">
        <f>ROUND(F19*K20/1000,0)</f>
        <v>231</v>
      </c>
      <c r="P20" s="220">
        <f>ROUND(F24*K20/1000,0)</f>
        <v>387</v>
      </c>
      <c r="Q20" s="223">
        <f>ROUND(F29*K20/1000,0)</f>
        <v>556</v>
      </c>
      <c r="R20" s="224">
        <f>ROUND(F20*K20/1000,0)</f>
        <v>279</v>
      </c>
      <c r="S20" s="221">
        <f>ROUND(F25*K20/1000,0)</f>
        <v>464</v>
      </c>
      <c r="T20" s="222">
        <f>ROUND(F30*K20/1000,0)</f>
        <v>664</v>
      </c>
      <c r="U20" s="219">
        <f>ROUND(F21*K20/1000,0)</f>
        <v>325</v>
      </c>
      <c r="V20" s="220">
        <f>ROUND(F26*K20/1000,0)</f>
        <v>538</v>
      </c>
      <c r="W20" s="223">
        <f>ROUND(F31*K20/1000,0)</f>
        <v>768</v>
      </c>
      <c r="X20" s="224">
        <f>ROUND(F22*K20/1000,0)</f>
        <v>457</v>
      </c>
      <c r="Y20" s="221">
        <f>ROUND(F27*K20/1000,0)</f>
        <v>749</v>
      </c>
      <c r="Z20" s="222">
        <f>ROUND(F32*K20/1000,0)</f>
        <v>1070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3:60" ht="12.75">
      <c r="C21" s="35">
        <v>1.3006</v>
      </c>
      <c r="D21" s="19">
        <v>625</v>
      </c>
      <c r="E21" s="7">
        <f>POWER(H11,C21)</f>
        <v>1</v>
      </c>
      <c r="F21" s="28">
        <f t="shared" si="0"/>
        <v>625</v>
      </c>
      <c r="G21" s="10"/>
      <c r="H21" s="40"/>
      <c r="K21" s="218">
        <v>600</v>
      </c>
      <c r="L21" s="219">
        <f>ROUND(F18*K21/1000,0)</f>
        <v>209</v>
      </c>
      <c r="M21" s="220">
        <f>ROUND(F23*K21/1000,0)</f>
        <v>354</v>
      </c>
      <c r="N21" s="223">
        <f>ROUND(F28*K21/1000,0)</f>
        <v>512</v>
      </c>
      <c r="O21" s="224">
        <f>ROUND(F19*K21/1000,0)</f>
        <v>266</v>
      </c>
      <c r="P21" s="221">
        <f>ROUND(F24*K21/1000,0)</f>
        <v>447</v>
      </c>
      <c r="Q21" s="222">
        <f>ROUND(F29*K21/1000,0)</f>
        <v>641</v>
      </c>
      <c r="R21" s="219">
        <f>ROUND(F20*K21/1000,0)</f>
        <v>322</v>
      </c>
      <c r="S21" s="220">
        <f>ROUND(F25*K21/1000,0)</f>
        <v>536</v>
      </c>
      <c r="T21" s="223">
        <f>ROUND(F30*K21/1000,0)</f>
        <v>766</v>
      </c>
      <c r="U21" s="224">
        <f>ROUND(F21*K21/1000,0)</f>
        <v>375</v>
      </c>
      <c r="V21" s="221">
        <f>ROUND(F26*K21/1000,0)</f>
        <v>621</v>
      </c>
      <c r="W21" s="222">
        <f>ROUND(F31*K21/1000,0)</f>
        <v>886</v>
      </c>
      <c r="X21" s="219">
        <f>ROUND(F22*K21/1000,0)</f>
        <v>527</v>
      </c>
      <c r="Y21" s="220">
        <f>ROUND(F27*K21/1000,0)</f>
        <v>864</v>
      </c>
      <c r="Z21" s="223">
        <f>ROUND(F32*K21/1000,0)</f>
        <v>1235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3:60" ht="12.75">
      <c r="C22" s="35">
        <v>1.3048</v>
      </c>
      <c r="D22" s="19">
        <v>878</v>
      </c>
      <c r="E22" s="7">
        <f>POWER(H11,C22)</f>
        <v>1</v>
      </c>
      <c r="F22" s="28">
        <f t="shared" si="0"/>
        <v>878</v>
      </c>
      <c r="G22" s="10"/>
      <c r="H22" s="40"/>
      <c r="K22" s="226">
        <v>720</v>
      </c>
      <c r="L22" s="224">
        <f>ROUND(F18*K22/1000,0)</f>
        <v>251</v>
      </c>
      <c r="M22" s="221">
        <f>ROUND(F23*K22/1000,0)</f>
        <v>425</v>
      </c>
      <c r="N22" s="222">
        <f>ROUND(F28*K22/1000,0)</f>
        <v>614</v>
      </c>
      <c r="O22" s="219">
        <f>ROUND(F19*K22/1000,0)</f>
        <v>320</v>
      </c>
      <c r="P22" s="220">
        <f>ROUND(F24*K22/1000,0)</f>
        <v>536</v>
      </c>
      <c r="Q22" s="223">
        <f>ROUND(F29*K22/1000,0)</f>
        <v>770</v>
      </c>
      <c r="R22" s="224">
        <f>ROUND(F20*K22/1000,0)</f>
        <v>386</v>
      </c>
      <c r="S22" s="221">
        <f>ROUND(F25*K22/1000,0)</f>
        <v>643</v>
      </c>
      <c r="T22" s="222">
        <f>ROUND(F30*K22/1000,0)</f>
        <v>919</v>
      </c>
      <c r="U22" s="219">
        <f>ROUND(F21*K22/1000,0)</f>
        <v>450</v>
      </c>
      <c r="V22" s="220">
        <f>ROUND(F26*K22/1000,0)</f>
        <v>745</v>
      </c>
      <c r="W22" s="223">
        <f>ROUND(F31*K22/1000,0)</f>
        <v>1063</v>
      </c>
      <c r="X22" s="224">
        <f>ROUND(F22*K22/1000,0)</f>
        <v>632</v>
      </c>
      <c r="Y22" s="221">
        <f>ROUND(F27*K22/1000,0)</f>
        <v>1037</v>
      </c>
      <c r="Z22" s="222">
        <f>ROUND(F32*K22/1000,0)</f>
        <v>1482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2:60" ht="12.75">
      <c r="B23" s="77"/>
      <c r="C23" s="75">
        <v>1.2775</v>
      </c>
      <c r="D23" s="76">
        <v>590</v>
      </c>
      <c r="E23" s="77">
        <f>POWER(H11,C23)</f>
        <v>1</v>
      </c>
      <c r="F23" s="78">
        <f t="shared" si="0"/>
        <v>590</v>
      </c>
      <c r="G23" s="2"/>
      <c r="H23" s="35"/>
      <c r="K23" s="218">
        <v>800</v>
      </c>
      <c r="L23" s="219">
        <f>ROUND(F18*K23/1000,0)</f>
        <v>278</v>
      </c>
      <c r="M23" s="220">
        <f>ROUND(F23*K23/1000,0)</f>
        <v>472</v>
      </c>
      <c r="N23" s="223">
        <f>ROUND(F28*K23/1000,0)</f>
        <v>682</v>
      </c>
      <c r="O23" s="224">
        <f>ROUND(F19*K23/1000,0)</f>
        <v>355</v>
      </c>
      <c r="P23" s="221">
        <f>ROUND(F24*K23/1000,0)</f>
        <v>596</v>
      </c>
      <c r="Q23" s="222">
        <f>ROUND(F29*K23/1000,0)</f>
        <v>855</v>
      </c>
      <c r="R23" s="219">
        <f>ROUND(F20*K23/1000,0)</f>
        <v>429</v>
      </c>
      <c r="S23" s="220">
        <f>ROUND(F25*K23/1000,0)</f>
        <v>714</v>
      </c>
      <c r="T23" s="223">
        <f>ROUND(F30*K23/1000,0)</f>
        <v>1021</v>
      </c>
      <c r="U23" s="224">
        <f>ROUND(F21*K23/1000,0)</f>
        <v>500</v>
      </c>
      <c r="V23" s="221">
        <f>ROUND(F26*K23/1000,0)</f>
        <v>828</v>
      </c>
      <c r="W23" s="222">
        <f>ROUND(F31*K23/1000,0)</f>
        <v>1182</v>
      </c>
      <c r="X23" s="219">
        <f>ROUND(F22*K23/1000,0)</f>
        <v>702</v>
      </c>
      <c r="Y23" s="220">
        <f>ROUND(F27*K23/1000,0)</f>
        <v>1152</v>
      </c>
      <c r="Z23" s="223">
        <f>ROUND(F32*K23/1000,0)</f>
        <v>1646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2:60" ht="12.75">
      <c r="B24" s="77"/>
      <c r="C24" s="75">
        <v>1.2821</v>
      </c>
      <c r="D24" s="76">
        <v>745</v>
      </c>
      <c r="E24" s="77">
        <f>POWER(H11,C24)</f>
        <v>1</v>
      </c>
      <c r="F24" s="78">
        <f t="shared" si="0"/>
        <v>745</v>
      </c>
      <c r="G24" s="2"/>
      <c r="H24" s="35"/>
      <c r="K24" s="226">
        <v>920</v>
      </c>
      <c r="L24" s="224">
        <f>ROUND(F18*K24/1000,0)</f>
        <v>320</v>
      </c>
      <c r="M24" s="221">
        <f>ROUND(F23*K24/1000,0)</f>
        <v>543</v>
      </c>
      <c r="N24" s="222">
        <f>ROUND(F28*K24/1000,0)</f>
        <v>785</v>
      </c>
      <c r="O24" s="219">
        <f>ROUND(F19*K24/1000,0)</f>
        <v>408</v>
      </c>
      <c r="P24" s="220">
        <f>ROUND(F24*K24/1000,0)</f>
        <v>685</v>
      </c>
      <c r="Q24" s="223">
        <f>ROUND(F29*K24/1000,0)</f>
        <v>983</v>
      </c>
      <c r="R24" s="224">
        <f>ROUND(F20*K24/1000,0)</f>
        <v>493</v>
      </c>
      <c r="S24" s="221">
        <f>ROUND(F25*K24/1000,0)</f>
        <v>822</v>
      </c>
      <c r="T24" s="222">
        <f>ROUND(F30*K24/1000,0)</f>
        <v>1174</v>
      </c>
      <c r="U24" s="219">
        <f>ROUND(F21*K24/1000,0)</f>
        <v>575</v>
      </c>
      <c r="V24" s="220">
        <f>ROUND(F26*K24/1000,0)</f>
        <v>952</v>
      </c>
      <c r="W24" s="223">
        <f>ROUND(F31*K24/1000,0)</f>
        <v>1359</v>
      </c>
      <c r="X24" s="224">
        <f>ROUND(F22*K24/1000,0)</f>
        <v>808</v>
      </c>
      <c r="Y24" s="221">
        <f>ROUND(F27*K24/1000,0)</f>
        <v>1325</v>
      </c>
      <c r="Z24" s="222">
        <f>ROUND(F32*K24/1000,0)</f>
        <v>1893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2:60" ht="12.75">
      <c r="B25" s="77"/>
      <c r="C25" s="75">
        <v>1.2868</v>
      </c>
      <c r="D25" s="76">
        <v>893</v>
      </c>
      <c r="E25" s="77">
        <f>POWER(H11,C25)</f>
        <v>1</v>
      </c>
      <c r="F25" s="78">
        <f t="shared" si="0"/>
        <v>893</v>
      </c>
      <c r="G25" s="2"/>
      <c r="H25" s="35"/>
      <c r="K25" s="218">
        <v>1000</v>
      </c>
      <c r="L25" s="219">
        <f>F18</f>
        <v>348</v>
      </c>
      <c r="M25" s="220">
        <f>ROUND(F23*K25/1000,0)</f>
        <v>590</v>
      </c>
      <c r="N25" s="223">
        <f>ROUND(F28*K25/1000,0)</f>
        <v>853</v>
      </c>
      <c r="O25" s="224">
        <f>ROUND(F19*K25/1000,0)</f>
        <v>444</v>
      </c>
      <c r="P25" s="221">
        <f>ROUND(F24*K25/1000,0)</f>
        <v>745</v>
      </c>
      <c r="Q25" s="222">
        <f>ROUND(F29*K25/1000,0)</f>
        <v>1069</v>
      </c>
      <c r="R25" s="219">
        <f>ROUND(F20*K25/1000,0)</f>
        <v>536</v>
      </c>
      <c r="S25" s="220">
        <f>ROUND(F25*K25/1000,0)</f>
        <v>893</v>
      </c>
      <c r="T25" s="223">
        <f>ROUND(F30*K25/1000,0)</f>
        <v>1276</v>
      </c>
      <c r="U25" s="224">
        <f>ROUND(F21*K25/1000,0)</f>
        <v>625</v>
      </c>
      <c r="V25" s="221">
        <f>ROUND(F26*K25/1000,0)</f>
        <v>1035</v>
      </c>
      <c r="W25" s="222">
        <f>ROUND(F31*K25/1000,0)</f>
        <v>1477</v>
      </c>
      <c r="X25" s="219">
        <f>ROUND(F22*K25/1000,0)</f>
        <v>878</v>
      </c>
      <c r="Y25" s="220">
        <f>ROUND(F27*K25/1000,0)</f>
        <v>1440</v>
      </c>
      <c r="Z25" s="223">
        <f>ROUND(F32*K25/1000,0)</f>
        <v>2058</v>
      </c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2:60" ht="12.75">
      <c r="B26" s="77"/>
      <c r="C26" s="75">
        <v>1.2914</v>
      </c>
      <c r="D26" s="76">
        <v>1035</v>
      </c>
      <c r="E26" s="77">
        <f>POWER(H11,C26)</f>
        <v>1</v>
      </c>
      <c r="F26" s="78">
        <f t="shared" si="0"/>
        <v>1035</v>
      </c>
      <c r="H26" s="35"/>
      <c r="K26" s="226">
        <v>1120</v>
      </c>
      <c r="L26" s="224">
        <f>ROUND(F18*K26/1000,0)</f>
        <v>390</v>
      </c>
      <c r="M26" s="221">
        <f>ROUND(F23*K26/1000,0)</f>
        <v>661</v>
      </c>
      <c r="N26" s="222">
        <f>ROUND(F28*K26/1000,0)</f>
        <v>955</v>
      </c>
      <c r="O26" s="219">
        <f>ROUND(F19*K26/1000,0)</f>
        <v>497</v>
      </c>
      <c r="P26" s="220">
        <f>ROUND(F24*K26/1000,0)</f>
        <v>834</v>
      </c>
      <c r="Q26" s="223">
        <f>ROUND(F29*K26/1000,0)</f>
        <v>1197</v>
      </c>
      <c r="R26" s="224">
        <f>ROUND(F20*K26/1000,0)</f>
        <v>600</v>
      </c>
      <c r="S26" s="221">
        <f>ROUND(F25*K26/1000,0)</f>
        <v>1000</v>
      </c>
      <c r="T26" s="222">
        <f>ROUND(F30*K26/1000,0)</f>
        <v>1429</v>
      </c>
      <c r="U26" s="219">
        <f>ROUND(F21*K26/1000,0)</f>
        <v>700</v>
      </c>
      <c r="V26" s="220">
        <f>ROUND(F26*K26/1000,0)</f>
        <v>1159</v>
      </c>
      <c r="W26" s="223">
        <f>ROUND(F31*K26/1000,0)</f>
        <v>1654</v>
      </c>
      <c r="X26" s="224">
        <f>ROUND(F22*K26/1000,0)</f>
        <v>983</v>
      </c>
      <c r="Y26" s="221">
        <f>ROUND(F27*K26/1000,0)</f>
        <v>1613</v>
      </c>
      <c r="Z26" s="222">
        <f>ROUND(F32*K26/1000,0)</f>
        <v>2305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2:60" ht="12.75">
      <c r="B27" s="77"/>
      <c r="C27" s="75">
        <v>1.2943</v>
      </c>
      <c r="D27" s="76">
        <v>1440</v>
      </c>
      <c r="E27" s="77">
        <f>POWER(H11,C27)</f>
        <v>1</v>
      </c>
      <c r="F27" s="78">
        <f t="shared" si="0"/>
        <v>1440</v>
      </c>
      <c r="H27" s="35"/>
      <c r="K27" s="218">
        <v>1200</v>
      </c>
      <c r="L27" s="219">
        <f>ROUND(F18*K27/1000,0)</f>
        <v>418</v>
      </c>
      <c r="M27" s="220">
        <f>ROUND(F23*K27/1000,0)</f>
        <v>708</v>
      </c>
      <c r="N27" s="223">
        <f>ROUND(F28*K27/1000,0)</f>
        <v>1024</v>
      </c>
      <c r="O27" s="224">
        <f>ROUND(F19*K27/1000,0)</f>
        <v>533</v>
      </c>
      <c r="P27" s="221">
        <f>ROUND(F24*K27/1000,0)</f>
        <v>894</v>
      </c>
      <c r="Q27" s="222">
        <f>ROUND(F29*K27/1000,0)</f>
        <v>1283</v>
      </c>
      <c r="R27" s="219">
        <f>ROUND(F20*K27/1000,0)</f>
        <v>643</v>
      </c>
      <c r="S27" s="220">
        <f>ROUND(F25*K27/1000,0)</f>
        <v>1072</v>
      </c>
      <c r="T27" s="223">
        <f>ROUND(F30*K27/1000,0)</f>
        <v>1531</v>
      </c>
      <c r="U27" s="224">
        <f>ROUND(F21*K27/1000,0)</f>
        <v>750</v>
      </c>
      <c r="V27" s="221">
        <f>ROUND(F26*K27/1000,0)</f>
        <v>1242</v>
      </c>
      <c r="W27" s="222">
        <f>ROUND(F31*K27/1000,0)</f>
        <v>1772</v>
      </c>
      <c r="X27" s="219">
        <f>ROUND(F22*K27/1000,0)</f>
        <v>1054</v>
      </c>
      <c r="Y27" s="220">
        <f>ROUND(F27*K27/1000,0)</f>
        <v>1728</v>
      </c>
      <c r="Z27" s="223">
        <f>ROUND(F32*K27/1000,0)</f>
        <v>2470</v>
      </c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3:60" ht="12.75">
      <c r="C28" s="29">
        <v>1.2883</v>
      </c>
      <c r="D28" s="19">
        <v>853</v>
      </c>
      <c r="E28" s="7">
        <f>POWER(H11,C28)</f>
        <v>1</v>
      </c>
      <c r="F28" s="28">
        <f t="shared" si="0"/>
        <v>853</v>
      </c>
      <c r="K28" s="226">
        <v>1320</v>
      </c>
      <c r="L28" s="224">
        <f>ROUND(F18*K28/1000,0)</f>
        <v>459</v>
      </c>
      <c r="M28" s="221">
        <f>ROUND(F23*K28/1000,0)</f>
        <v>779</v>
      </c>
      <c r="N28" s="222">
        <f>ROUND(F28*K28/1000,0)</f>
        <v>1126</v>
      </c>
      <c r="O28" s="219">
        <f>ROUND(F19*K28/1000,0)</f>
        <v>586</v>
      </c>
      <c r="P28" s="220">
        <f>ROUND(F24*K28/1000,0)</f>
        <v>983</v>
      </c>
      <c r="Q28" s="223">
        <f>ROUND(F29*K28/1000,0)</f>
        <v>1411</v>
      </c>
      <c r="R28" s="224">
        <f>ROUND(F20*K28/1000,0)</f>
        <v>708</v>
      </c>
      <c r="S28" s="221">
        <f>ROUND(F25*K28/1000,0)</f>
        <v>1179</v>
      </c>
      <c r="T28" s="222">
        <f>ROUND(F30*K28/1000,0)</f>
        <v>1684</v>
      </c>
      <c r="U28" s="219">
        <f>ROUND(F21*K28/1000,0)</f>
        <v>825</v>
      </c>
      <c r="V28" s="220">
        <f>ROUND(F26*K28/1000,0)</f>
        <v>1366</v>
      </c>
      <c r="W28" s="223">
        <f>ROUND(F31*K28/1000,0)</f>
        <v>1950</v>
      </c>
      <c r="X28" s="224">
        <f>ROUND(F22*K28/1000,0)</f>
        <v>1159</v>
      </c>
      <c r="Y28" s="221">
        <f>ROUND(F27*K28/1000,0)</f>
        <v>1901</v>
      </c>
      <c r="Z28" s="222">
        <f>ROUND(F32*K28/1000,0)</f>
        <v>2717</v>
      </c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3:60" ht="12.75">
      <c r="C29" s="29">
        <v>1.2881</v>
      </c>
      <c r="D29" s="19">
        <v>1069</v>
      </c>
      <c r="E29" s="7">
        <f>POWER(H11,C29)</f>
        <v>1</v>
      </c>
      <c r="F29" s="28">
        <f t="shared" si="0"/>
        <v>1069</v>
      </c>
      <c r="K29" s="218">
        <v>1400</v>
      </c>
      <c r="L29" s="219">
        <f>ROUND(F18*K29/1000,0)</f>
        <v>487</v>
      </c>
      <c r="M29" s="220">
        <f>ROUND(F23*K29/1000,0)</f>
        <v>826</v>
      </c>
      <c r="N29" s="223">
        <f>ROUND(F28*K29/1000,0)</f>
        <v>1194</v>
      </c>
      <c r="O29" s="224">
        <f>ROUND(F19*K29/1000,0)</f>
        <v>622</v>
      </c>
      <c r="P29" s="221">
        <f>ROUND(F24*K29/1000,0)</f>
        <v>1043</v>
      </c>
      <c r="Q29" s="222">
        <f>ROUND(F29*K29/1000,0)</f>
        <v>1497</v>
      </c>
      <c r="R29" s="219">
        <f>ROUND(F20*K29/1000,0)</f>
        <v>750</v>
      </c>
      <c r="S29" s="220">
        <f>ROUND(F25*K29/1000,0)</f>
        <v>1250</v>
      </c>
      <c r="T29" s="223">
        <f>ROUND(F30*K29/1000,0)</f>
        <v>1786</v>
      </c>
      <c r="U29" s="224">
        <f>ROUND(F21*K29/1000,0)</f>
        <v>875</v>
      </c>
      <c r="V29" s="221">
        <f>ROUND(F26*K29/1000,0)</f>
        <v>1449</v>
      </c>
      <c r="W29" s="222">
        <f>ROUND(F31*K29/1000,0)</f>
        <v>2068</v>
      </c>
      <c r="X29" s="219">
        <f>ROUND(F22*K29/1000,0)</f>
        <v>1229</v>
      </c>
      <c r="Y29" s="220">
        <f>ROUND(F27*K29/1000,0)</f>
        <v>2016</v>
      </c>
      <c r="Z29" s="223">
        <f>ROUND(F32*K29/1000,0)</f>
        <v>2881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3:60" ht="12.75">
      <c r="C30" s="29">
        <v>1.2879</v>
      </c>
      <c r="D30" s="19">
        <v>1276</v>
      </c>
      <c r="E30" s="7">
        <f>POWER(H11,C30)</f>
        <v>1</v>
      </c>
      <c r="F30" s="28">
        <f t="shared" si="0"/>
        <v>1276</v>
      </c>
      <c r="K30" s="226">
        <v>1600</v>
      </c>
      <c r="L30" s="224">
        <f>ROUND(F18*K30/1000,0)</f>
        <v>557</v>
      </c>
      <c r="M30" s="221">
        <f>ROUND(F23*K30/1000,0)</f>
        <v>944</v>
      </c>
      <c r="N30" s="222">
        <f>ROUND(F28*K30/1000,0)</f>
        <v>1365</v>
      </c>
      <c r="O30" s="219">
        <f>ROUND(F19*K30/1000,0)</f>
        <v>710</v>
      </c>
      <c r="P30" s="220">
        <f>ROUND(F24*K30/1000,0)</f>
        <v>1192</v>
      </c>
      <c r="Q30" s="223">
        <f>ROUND(F29*K30/1000,0)</f>
        <v>1710</v>
      </c>
      <c r="R30" s="224">
        <f>ROUND(F20*K30/1000,0)</f>
        <v>858</v>
      </c>
      <c r="S30" s="221">
        <f>ROUND(F25*K30/1000,0)</f>
        <v>1429</v>
      </c>
      <c r="T30" s="222">
        <f>ROUND(F30*K30/1000,0)</f>
        <v>2042</v>
      </c>
      <c r="U30" s="219">
        <f>ROUND(F21*K30/1000,0)</f>
        <v>1000</v>
      </c>
      <c r="V30" s="220">
        <f>ROUND(F26*K30/1000,0)</f>
        <v>1656</v>
      </c>
      <c r="W30" s="223">
        <f>ROUND(F31*K30/1000,0)</f>
        <v>2363</v>
      </c>
      <c r="X30" s="224">
        <f>ROUND(F22*K30/1000,0)</f>
        <v>1405</v>
      </c>
      <c r="Y30" s="221">
        <f>ROUND(F27*K30/1000,0)</f>
        <v>2304</v>
      </c>
      <c r="Z30" s="222">
        <f>ROUND(F32*K30/1000,0)</f>
        <v>3293</v>
      </c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3:60" ht="12.75">
      <c r="C31" s="29">
        <v>1.2877</v>
      </c>
      <c r="D31" s="19">
        <v>1477</v>
      </c>
      <c r="E31" s="7">
        <f>POWER(H11,C31)</f>
        <v>1</v>
      </c>
      <c r="F31" s="28">
        <f t="shared" si="0"/>
        <v>1477</v>
      </c>
      <c r="K31" s="218">
        <v>1800</v>
      </c>
      <c r="L31" s="219">
        <f>ROUND(F18*K31/1000,0)</f>
        <v>626</v>
      </c>
      <c r="M31" s="220">
        <f>ROUND(F23*K31/1000,0)</f>
        <v>1062</v>
      </c>
      <c r="N31" s="223">
        <f>ROUND(F28*K31/1000,0)</f>
        <v>1535</v>
      </c>
      <c r="O31" s="224">
        <f>ROUND(F19*K31/1000,0)</f>
        <v>799</v>
      </c>
      <c r="P31" s="221">
        <f>ROUND(F24*K31/1000,0)</f>
        <v>1341</v>
      </c>
      <c r="Q31" s="222">
        <f>ROUND(F29*K31/1000,0)</f>
        <v>1924</v>
      </c>
      <c r="R31" s="219">
        <f>ROUND(F20*K31/1000,0)</f>
        <v>965</v>
      </c>
      <c r="S31" s="220">
        <f>ROUND(F25*K31/1000,0)</f>
        <v>1607</v>
      </c>
      <c r="T31" s="223">
        <f>ROUND(F30*K31/1000,0)</f>
        <v>2297</v>
      </c>
      <c r="U31" s="224">
        <f>ROUND(F21*K31/1000,0)</f>
        <v>1125</v>
      </c>
      <c r="V31" s="221">
        <f>ROUND(F26*K31/1000,0)</f>
        <v>1863</v>
      </c>
      <c r="W31" s="222">
        <f>ROUND(F31*K31/1000,0)</f>
        <v>2659</v>
      </c>
      <c r="X31" s="219">
        <f>ROUND(F22*K31/1000,0)</f>
        <v>1580</v>
      </c>
      <c r="Y31" s="220">
        <f>ROUND(F27*K31/1000,0)</f>
        <v>2592</v>
      </c>
      <c r="Z31" s="223">
        <f>ROUND(F32*K31/1000,0)</f>
        <v>3704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3:60" ht="12.75">
      <c r="C32" s="29">
        <v>1.3171</v>
      </c>
      <c r="D32" s="19">
        <v>2058</v>
      </c>
      <c r="E32" s="7">
        <f>POWER(H11,C32)</f>
        <v>1</v>
      </c>
      <c r="F32" s="28">
        <f t="shared" si="0"/>
        <v>2058</v>
      </c>
      <c r="K32" s="226">
        <v>2000</v>
      </c>
      <c r="L32" s="224">
        <f>ROUND(F18*K32/1000,0)</f>
        <v>696</v>
      </c>
      <c r="M32" s="221">
        <f>ROUND(F23*K32/1000,0)</f>
        <v>1180</v>
      </c>
      <c r="N32" s="222">
        <f>ROUND(F28*K32/1000,0)</f>
        <v>1706</v>
      </c>
      <c r="O32" s="219">
        <f>ROUND(F19*K32/1000,0)</f>
        <v>888</v>
      </c>
      <c r="P32" s="220">
        <f>ROUND(F24*K32/1000,0)</f>
        <v>1490</v>
      </c>
      <c r="Q32" s="223">
        <f>ROUND(F29*K32/1000,0)</f>
        <v>2138</v>
      </c>
      <c r="R32" s="224">
        <f>ROUND(F20*K32/1000,0)</f>
        <v>1072</v>
      </c>
      <c r="S32" s="221">
        <f>ROUND(F25*K32/1000,0)</f>
        <v>1786</v>
      </c>
      <c r="T32" s="222">
        <f>ROUND(F30*K32/1000,0)</f>
        <v>2552</v>
      </c>
      <c r="U32" s="219">
        <f>ROUND(F21*K32/1000,0)</f>
        <v>1250</v>
      </c>
      <c r="V32" s="220">
        <f>ROUND(F26*K32/1000,0)</f>
        <v>2070</v>
      </c>
      <c r="W32" s="223">
        <f>ROUND(F31*K32/1000,0)</f>
        <v>2954</v>
      </c>
      <c r="X32" s="224">
        <f>ROUND(F22*K32/1000,0)</f>
        <v>1756</v>
      </c>
      <c r="Y32" s="221">
        <f>ROUND(F27*K32/1000,0)</f>
        <v>2880</v>
      </c>
      <c r="Z32" s="222">
        <f>ROUND(F32*K32/1000,0)</f>
        <v>4116</v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1:60" ht="12.75">
      <c r="K33" s="218">
        <v>2200</v>
      </c>
      <c r="L33" s="219">
        <f>ROUND(F18*K33/1000,0)</f>
        <v>766</v>
      </c>
      <c r="M33" s="220">
        <f>ROUND(F23*K33/1000,0)</f>
        <v>1298</v>
      </c>
      <c r="N33" s="223">
        <f>ROUND(F28*K33/1000,0)</f>
        <v>1877</v>
      </c>
      <c r="O33" s="224">
        <f>ROUND(F19*K33/1000,0)</f>
        <v>977</v>
      </c>
      <c r="P33" s="221">
        <f>ROUND(F24*K33/1000,0)</f>
        <v>1639</v>
      </c>
      <c r="Q33" s="222">
        <f>ROUND(F29*K33/1000,0)</f>
        <v>2352</v>
      </c>
      <c r="R33" s="219">
        <f>ROUND(F20*K33/1000,0)</f>
        <v>1179</v>
      </c>
      <c r="S33" s="220">
        <f>ROUND(F25*K33/1000,0)</f>
        <v>1965</v>
      </c>
      <c r="T33" s="223">
        <f>ROUND(F30*K33/1000,0)</f>
        <v>2807</v>
      </c>
      <c r="U33" s="224">
        <f>ROUND(F21*K33/1000,0)</f>
        <v>1375</v>
      </c>
      <c r="V33" s="221">
        <f>ROUND(F26*K33/1000,0)</f>
        <v>2277</v>
      </c>
      <c r="W33" s="222">
        <f>ROUND(F31*K33/1000,0)</f>
        <v>3249</v>
      </c>
      <c r="X33" s="219">
        <f>ROUND(F22*K33/1000,0)</f>
        <v>1932</v>
      </c>
      <c r="Y33" s="220">
        <f>ROUND(F27*K33/1000,0)</f>
        <v>3168</v>
      </c>
      <c r="Z33" s="223">
        <f>ROUND(F32*K33/1000,0)</f>
        <v>4528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1:60" ht="12.75">
      <c r="K34" s="226">
        <v>2400</v>
      </c>
      <c r="L34" s="224">
        <f>ROUND(F18*K34/1000,0)</f>
        <v>835</v>
      </c>
      <c r="M34" s="221">
        <f>ROUND(F23*K34/1000,0)</f>
        <v>1416</v>
      </c>
      <c r="N34" s="222">
        <f>ROUND(F28*K34/1000,0)</f>
        <v>2047</v>
      </c>
      <c r="O34" s="219">
        <f>ROUND(F19*K34/1000,0)</f>
        <v>1066</v>
      </c>
      <c r="P34" s="220">
        <f>ROUND(F24*K34/1000,0)</f>
        <v>1788</v>
      </c>
      <c r="Q34" s="223">
        <f>ROUND(F29*K34/1000,0)</f>
        <v>2566</v>
      </c>
      <c r="R34" s="224">
        <f>ROUND(F20*K34/1000,0)</f>
        <v>1286</v>
      </c>
      <c r="S34" s="221">
        <f>ROUND(F25*K34/1000,0)</f>
        <v>2143</v>
      </c>
      <c r="T34" s="222">
        <f>ROUND(F30*K34/1000,0)</f>
        <v>3062</v>
      </c>
      <c r="U34" s="219">
        <f>ROUND(F21*K34/1000,0)</f>
        <v>1500</v>
      </c>
      <c r="V34" s="220">
        <f>ROUND(F26*K34/1000,0)</f>
        <v>2484</v>
      </c>
      <c r="W34" s="223">
        <f>ROUND(F31*K34/1000,0)</f>
        <v>3545</v>
      </c>
      <c r="X34" s="224">
        <f>ROUND(F22*K34/1000,0)</f>
        <v>2107</v>
      </c>
      <c r="Y34" s="221">
        <f>ROUND(F27*K34/1000,0)</f>
        <v>3456</v>
      </c>
      <c r="Z34" s="222">
        <f>ROUND(F32*K34/1000,0)</f>
        <v>4939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1:60" ht="12.75">
      <c r="K35" s="218">
        <v>2600</v>
      </c>
      <c r="L35" s="219">
        <f>ROUND(F18*K35/1000,0)</f>
        <v>905</v>
      </c>
      <c r="M35" s="220">
        <f>ROUND(F23*K35/1000,0)</f>
        <v>1534</v>
      </c>
      <c r="N35" s="223">
        <f>ROUND(F28*K35/1000,0)</f>
        <v>2218</v>
      </c>
      <c r="O35" s="224">
        <f>ROUND(F19*K35/1000,0)</f>
        <v>1154</v>
      </c>
      <c r="P35" s="221">
        <f>ROUND(F24*K35/1000,0)</f>
        <v>1937</v>
      </c>
      <c r="Q35" s="222">
        <f>ROUND(F29*K35/1000,0)</f>
        <v>2779</v>
      </c>
      <c r="R35" s="219">
        <f>ROUND(F20*K35/1000,0)</f>
        <v>1394</v>
      </c>
      <c r="S35" s="220">
        <f>ROUND(F25*K35/1000,0)</f>
        <v>2322</v>
      </c>
      <c r="T35" s="223">
        <f>ROUND(F30*K35/1000,0)</f>
        <v>3318</v>
      </c>
      <c r="U35" s="224">
        <f>ROUND(F21*K35/1000,0)</f>
        <v>1625</v>
      </c>
      <c r="V35" s="221">
        <f>ROUND(F26*K35/1000,0)</f>
        <v>2691</v>
      </c>
      <c r="W35" s="222">
        <f>ROUND(F31*K35/1000,0)</f>
        <v>3840</v>
      </c>
      <c r="X35" s="219">
        <f>ROUND(F22*K35/1000,0)</f>
        <v>2283</v>
      </c>
      <c r="Y35" s="220">
        <f>ROUND(F27*K35/1000,0)</f>
        <v>3744</v>
      </c>
      <c r="Z35" s="223">
        <f>ROUND(F32*K35/1000,0)</f>
        <v>5351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1:60" ht="12.75">
      <c r="K36" s="226">
        <v>2800</v>
      </c>
      <c r="L36" s="224">
        <f>ROUND(F18*K36/1000,0)</f>
        <v>974</v>
      </c>
      <c r="M36" s="221">
        <f>ROUND(F23*K36/1000,0)</f>
        <v>1652</v>
      </c>
      <c r="N36" s="222">
        <f>ROUND(F28*K36/1000,0)</f>
        <v>2388</v>
      </c>
      <c r="O36" s="219">
        <f>ROUND(F19*K36/1000,0)</f>
        <v>1243</v>
      </c>
      <c r="P36" s="220">
        <f>ROUND(F24*K36/1000,0)</f>
        <v>2086</v>
      </c>
      <c r="Q36" s="223">
        <f>ROUND(F29*K36/1000,0)</f>
        <v>2993</v>
      </c>
      <c r="R36" s="224">
        <f>ROUND(F20*K36/1000,0)</f>
        <v>1501</v>
      </c>
      <c r="S36" s="221">
        <f>ROUND(F25*K36/1000,0)</f>
        <v>2500</v>
      </c>
      <c r="T36" s="222">
        <f>ROUND(F30*K36/1000,0)</f>
        <v>3573</v>
      </c>
      <c r="U36" s="219">
        <f>ROUND(F21*K36/1000,0)</f>
        <v>1750</v>
      </c>
      <c r="V36" s="220">
        <f>ROUND(F26*K36/1000,0)</f>
        <v>2898</v>
      </c>
      <c r="W36" s="223">
        <f>ROUND(F31*K36/1000,0)</f>
        <v>4136</v>
      </c>
      <c r="X36" s="224">
        <f>ROUND(F22*K36/1000,0)</f>
        <v>2458</v>
      </c>
      <c r="Y36" s="221">
        <f>ROUND(F27*K36/1000,0)</f>
        <v>4032</v>
      </c>
      <c r="Z36" s="222">
        <f>ROUND(F32*K36/1000,0)</f>
        <v>5762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1:60" ht="12.75">
      <c r="K37" s="218">
        <v>3000</v>
      </c>
      <c r="L37" s="219">
        <f>ROUND(F18*K37/1000,0)</f>
        <v>1044</v>
      </c>
      <c r="M37" s="220">
        <f>ROUND(F23*K37/1000,0)</f>
        <v>1770</v>
      </c>
      <c r="N37" s="223">
        <f>ROUND(F28*K37/1000,0)</f>
        <v>2559</v>
      </c>
      <c r="O37" s="224">
        <f>ROUND(F19*K37/1000,0)</f>
        <v>1332</v>
      </c>
      <c r="P37" s="221">
        <f>ROUND(F24*K37/1000,0)</f>
        <v>2235</v>
      </c>
      <c r="Q37" s="222">
        <f>ROUND(F29*K37/1000,0)</f>
        <v>3207</v>
      </c>
      <c r="R37" s="219">
        <f>ROUND(F20*K37/1000,0)</f>
        <v>1608</v>
      </c>
      <c r="S37" s="220">
        <f>ROUND(F25*K37/1000,0)</f>
        <v>2679</v>
      </c>
      <c r="T37" s="223">
        <f>ROUND(F30*K37/1000,0)</f>
        <v>3828</v>
      </c>
      <c r="U37" s="224">
        <f>ROUND(F21*K37/1000,0)</f>
        <v>1875</v>
      </c>
      <c r="V37" s="221">
        <f>ROUND(F26*K37/1000,0)</f>
        <v>3105</v>
      </c>
      <c r="W37" s="222">
        <f>ROUND(F31*K37/1000,0)</f>
        <v>4431</v>
      </c>
      <c r="X37" s="219">
        <f>ROUND(F22*K37/1000,0)</f>
        <v>2634</v>
      </c>
      <c r="Y37" s="220">
        <f>ROUND(F27*K37/1000,0)</f>
        <v>4320</v>
      </c>
      <c r="Z37" s="223">
        <f>ROUND(F32*K37/1000,0)</f>
        <v>6174</v>
      </c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1:26" ht="13.5" thickBot="1">
      <c r="K38" s="394" t="s">
        <v>96</v>
      </c>
      <c r="L38" s="349">
        <f>C18</f>
        <v>1.2741</v>
      </c>
      <c r="M38" s="345">
        <f>C23</f>
        <v>1.2775</v>
      </c>
      <c r="N38" s="346">
        <f>C28</f>
        <v>1.2883</v>
      </c>
      <c r="O38" s="349">
        <f>C19</f>
        <v>1.2829</v>
      </c>
      <c r="P38" s="345">
        <f>C24</f>
        <v>1.2821</v>
      </c>
      <c r="Q38" s="346">
        <f>C29</f>
        <v>1.2881</v>
      </c>
      <c r="R38" s="349">
        <f>C20</f>
        <v>1.2918</v>
      </c>
      <c r="S38" s="345">
        <f>C25</f>
        <v>1.2868</v>
      </c>
      <c r="T38" s="346">
        <f>C30</f>
        <v>1.2879</v>
      </c>
      <c r="U38" s="349">
        <f>C21</f>
        <v>1.3006</v>
      </c>
      <c r="V38" s="345">
        <f>C26</f>
        <v>1.2914</v>
      </c>
      <c r="W38" s="346">
        <f>C31</f>
        <v>1.2877</v>
      </c>
      <c r="X38" s="349">
        <f>C22</f>
        <v>1.3048</v>
      </c>
      <c r="Y38" s="345">
        <f>C27</f>
        <v>1.2943</v>
      </c>
      <c r="Z38" s="346">
        <f>C32</f>
        <v>1.3171</v>
      </c>
    </row>
    <row r="40" ht="12.75">
      <c r="K40" s="33"/>
    </row>
    <row r="41" ht="12.75">
      <c r="K41" s="33"/>
    </row>
    <row r="42" ht="12.75">
      <c r="K42" s="33"/>
    </row>
  </sheetData>
  <sheetProtection password="DC1D" sheet="1" objects="1" scenarios="1" selectLockedCells="1"/>
  <mergeCells count="6">
    <mergeCell ref="X16:Z16"/>
    <mergeCell ref="L16:N16"/>
    <mergeCell ref="O16:Q16"/>
    <mergeCell ref="R16:T16"/>
    <mergeCell ref="U16:W16"/>
    <mergeCell ref="K13:Z13"/>
  </mergeCells>
  <printOptions/>
  <pageMargins left="0.1968503937007874" right="0.1968503937007874" top="0.984251968503937" bottom="0.984251968503937" header="0.5118110236220472" footer="0.2362204724409449"/>
  <pageSetup horizontalDpi="300" verticalDpi="300" orientation="landscape" paperSize="9" r:id="rId2"/>
  <headerFooter alignWithMargins="0">
    <oddHeader xml:space="preserve">&amp;C&amp;A </oddHeader>
    <oddFooter>&amp;R&amp;8&amp;F
Rettig Austria GmbH
Research and Development
&amp;D&amp;10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tabColor indexed="41"/>
  </sheetPr>
  <dimension ref="A1:EC85"/>
  <sheetViews>
    <sheetView showGridLines="0" zoomScalePageLayoutView="0" workbookViewId="0" topLeftCell="A2">
      <pane xSplit="2" topLeftCell="J1" activePane="topRight" state="frozen"/>
      <selection pane="topLeft" activeCell="AI46" sqref="AI46"/>
      <selection pane="topRight" activeCell="B10" sqref="B10:B12"/>
    </sheetView>
  </sheetViews>
  <sheetFormatPr defaultColWidth="11.57421875" defaultRowHeight="12.75"/>
  <cols>
    <col min="1" max="1" width="27.421875" style="98" customWidth="1"/>
    <col min="2" max="2" width="10.8515625" style="98" customWidth="1"/>
    <col min="3" max="3" width="8.7109375" style="98" hidden="1" customWidth="1"/>
    <col min="4" max="4" width="12.7109375" style="98" hidden="1" customWidth="1"/>
    <col min="5" max="5" width="12.28125" style="98" hidden="1" customWidth="1"/>
    <col min="6" max="6" width="15.140625" style="99" hidden="1" customWidth="1"/>
    <col min="7" max="7" width="12.28125" style="100" hidden="1" customWidth="1"/>
    <col min="8" max="9" width="11.57421875" style="98" hidden="1" customWidth="1"/>
    <col min="10" max="10" width="2.57421875" style="98" customWidth="1"/>
    <col min="11" max="11" width="10.00390625" style="101" customWidth="1"/>
    <col min="12" max="18" width="6.7109375" style="102" customWidth="1"/>
    <col min="19" max="23" width="6.7109375" style="101" customWidth="1"/>
    <col min="24" max="25" width="6.7109375" style="103" customWidth="1"/>
    <col min="26" max="45" width="5.7109375" style="103" customWidth="1"/>
    <col min="46" max="46" width="6.7109375" style="104" customWidth="1"/>
    <col min="47" max="58" width="4.00390625" style="105" customWidth="1"/>
    <col min="59" max="81" width="4.00390625" style="98" customWidth="1"/>
    <col min="82" max="16384" width="11.57421875" style="98" customWidth="1"/>
  </cols>
  <sheetData>
    <row r="1" spans="2:81" ht="20.25" hidden="1">
      <c r="B1" s="97"/>
      <c r="CB1" s="106"/>
      <c r="CC1" s="106"/>
    </row>
    <row r="2" spans="4:81" ht="12.75">
      <c r="D2" s="107"/>
      <c r="E2" s="107"/>
      <c r="F2" s="108"/>
      <c r="G2" s="109"/>
      <c r="CB2" s="106"/>
      <c r="CC2" s="106"/>
    </row>
    <row r="3" spans="4:81" ht="12.75">
      <c r="D3" s="107"/>
      <c r="E3" s="107"/>
      <c r="F3" s="108"/>
      <c r="G3" s="109"/>
      <c r="CB3" s="106"/>
      <c r="CC3" s="106"/>
    </row>
    <row r="4" spans="4:81" ht="12.75">
      <c r="D4" s="107"/>
      <c r="E4" s="107"/>
      <c r="F4" s="108"/>
      <c r="G4" s="109"/>
      <c r="CB4" s="106"/>
      <c r="CC4" s="106"/>
    </row>
    <row r="5" spans="4:81" ht="12.75">
      <c r="D5" s="107"/>
      <c r="E5" s="107"/>
      <c r="F5" s="108"/>
      <c r="G5" s="109"/>
      <c r="CB5" s="106"/>
      <c r="CC5" s="106"/>
    </row>
    <row r="6" spans="2:81" ht="12.75" hidden="1">
      <c r="B6" s="98">
        <v>75</v>
      </c>
      <c r="C6" s="107" t="s">
        <v>47</v>
      </c>
      <c r="D6" s="107" t="s">
        <v>0</v>
      </c>
      <c r="E6" s="107" t="s">
        <v>71</v>
      </c>
      <c r="F6" s="108"/>
      <c r="CB6" s="106"/>
      <c r="CC6" s="106"/>
    </row>
    <row r="7" spans="2:81" ht="12.75" hidden="1">
      <c r="B7" s="98">
        <v>65</v>
      </c>
      <c r="C7" s="107" t="s">
        <v>47</v>
      </c>
      <c r="D7" s="107">
        <f>(B6+B7)/2-B8</f>
        <v>50</v>
      </c>
      <c r="E7" s="109">
        <f>(B6-B7)/LN((B6-B8)/(B7-B8))</f>
        <v>49.83288654563971</v>
      </c>
      <c r="F7" s="108"/>
      <c r="CB7" s="106"/>
      <c r="CC7" s="106"/>
    </row>
    <row r="8" spans="2:88" ht="12.75" hidden="1">
      <c r="B8" s="98">
        <v>20</v>
      </c>
      <c r="C8" s="107" t="s">
        <v>47</v>
      </c>
      <c r="D8" s="107"/>
      <c r="E8" s="107"/>
      <c r="F8" s="108"/>
      <c r="G8" s="109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</row>
    <row r="9" spans="2:88" ht="23.25" hidden="1">
      <c r="B9" s="110" t="s">
        <v>46</v>
      </c>
      <c r="D9" s="107"/>
      <c r="E9" s="107"/>
      <c r="F9" s="108"/>
      <c r="G9" s="109"/>
      <c r="K9" s="111"/>
      <c r="U9" s="23"/>
      <c r="V9" s="23"/>
      <c r="W9" s="23"/>
      <c r="Y9" s="159"/>
      <c r="AT9" s="112"/>
      <c r="AU9" s="113"/>
      <c r="AV9" s="113"/>
      <c r="AW9" s="113"/>
      <c r="AX9" s="113"/>
      <c r="AY9" s="113"/>
      <c r="AZ9" s="113"/>
      <c r="BA9" s="11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6"/>
      <c r="CE9" s="106"/>
      <c r="CF9" s="106"/>
      <c r="CG9" s="106"/>
      <c r="CH9" s="106"/>
      <c r="CI9" s="106"/>
      <c r="CJ9" s="106"/>
    </row>
    <row r="10" spans="1:88" ht="18.75">
      <c r="A10" s="293" t="str">
        <f>C10</f>
        <v>Temperatuur sissevoolul [°C]</v>
      </c>
      <c r="B10" s="244">
        <v>75</v>
      </c>
      <c r="C10" s="290" t="s">
        <v>97</v>
      </c>
      <c r="D10" s="107"/>
      <c r="E10" s="108" t="s">
        <v>0</v>
      </c>
      <c r="F10" s="107" t="s">
        <v>71</v>
      </c>
      <c r="G10" s="109" t="s">
        <v>70</v>
      </c>
      <c r="H10" s="109" t="s">
        <v>73</v>
      </c>
      <c r="K10" s="114" t="s">
        <v>118</v>
      </c>
      <c r="U10" s="23"/>
      <c r="V10" s="23"/>
      <c r="W10" s="23"/>
      <c r="X10" s="4"/>
      <c r="AT10" s="112"/>
      <c r="AU10" s="113"/>
      <c r="AV10" s="113"/>
      <c r="AW10" s="113"/>
      <c r="AX10" s="113"/>
      <c r="AY10" s="113"/>
      <c r="AZ10" s="113"/>
      <c r="BA10" s="11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6"/>
      <c r="CE10" s="106"/>
      <c r="CF10" s="106"/>
      <c r="CG10" s="106"/>
      <c r="CH10" s="106"/>
      <c r="CI10" s="106"/>
      <c r="CJ10" s="106"/>
    </row>
    <row r="11" spans="1:88" ht="15.75" customHeight="1">
      <c r="A11" s="293" t="str">
        <f>C11</f>
        <v>Temperatuur väljavoolul [°C]</v>
      </c>
      <c r="B11" s="244">
        <v>65</v>
      </c>
      <c r="C11" s="290" t="s">
        <v>98</v>
      </c>
      <c r="D11" s="107"/>
      <c r="E11" s="108">
        <f>(B10+B11)/2-B12</f>
        <v>50</v>
      </c>
      <c r="F11" s="109">
        <f>(B10-B11)/LN((B10-B12)/(B11-B12))</f>
        <v>49.83288654563971</v>
      </c>
      <c r="G11" s="109">
        <f>(B11-B12)/(B10-B12)</f>
        <v>0.8181818181818182</v>
      </c>
      <c r="H11" s="115">
        <f>IF(G11&lt;0.7,F11/E7,E11/D7)</f>
        <v>1</v>
      </c>
      <c r="U11" s="23"/>
      <c r="V11" s="23"/>
      <c r="W11" s="23"/>
      <c r="X11" s="4"/>
      <c r="AT11" s="103"/>
      <c r="AU11" s="113"/>
      <c r="AV11" s="113"/>
      <c r="AW11" s="113"/>
      <c r="AX11" s="113"/>
      <c r="AY11" s="113"/>
      <c r="AZ11" s="113"/>
      <c r="BA11" s="11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6"/>
      <c r="CE11" s="106"/>
      <c r="CF11" s="106"/>
      <c r="CG11" s="106"/>
      <c r="CH11" s="106"/>
      <c r="CI11" s="106"/>
      <c r="CJ11" s="106"/>
    </row>
    <row r="12" spans="1:81" s="106" customFormat="1" ht="15" customHeight="1" thickBot="1">
      <c r="A12" s="293" t="str">
        <f>C12</f>
        <v>Ruumi temperatuur [°C]</v>
      </c>
      <c r="B12" s="244">
        <v>20</v>
      </c>
      <c r="C12" s="291" t="s">
        <v>99</v>
      </c>
      <c r="E12" s="116"/>
      <c r="G12" s="117"/>
      <c r="K12" s="101"/>
      <c r="L12" s="102"/>
      <c r="M12" s="102"/>
      <c r="N12" s="102"/>
      <c r="O12" s="102"/>
      <c r="P12" s="102"/>
      <c r="Q12" s="102"/>
      <c r="R12" s="102"/>
      <c r="S12" s="101"/>
      <c r="T12" s="101"/>
      <c r="U12" s="23"/>
      <c r="V12" s="23"/>
      <c r="W12" s="23"/>
      <c r="X12" s="4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13"/>
      <c r="AV12" s="113"/>
      <c r="AW12" s="113"/>
      <c r="AX12" s="113"/>
      <c r="AY12" s="113"/>
      <c r="AZ12" s="113"/>
      <c r="BA12" s="11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</row>
    <row r="13" spans="3:133" s="106" customFormat="1" ht="12.75" customHeight="1">
      <c r="C13" s="106" t="s">
        <v>16</v>
      </c>
      <c r="F13" s="116"/>
      <c r="G13" s="117"/>
      <c r="K13" s="426" t="s">
        <v>110</v>
      </c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</row>
    <row r="14" spans="2:81" s="106" customFormat="1" ht="12.75" customHeight="1">
      <c r="B14" s="119"/>
      <c r="C14" s="119"/>
      <c r="D14" s="119"/>
      <c r="E14" s="119"/>
      <c r="F14" s="120"/>
      <c r="G14" s="121"/>
      <c r="H14" s="119"/>
      <c r="K14" s="325" t="s">
        <v>116</v>
      </c>
      <c r="L14" s="287"/>
      <c r="M14" s="287"/>
      <c r="N14" s="287"/>
      <c r="O14" s="287"/>
      <c r="P14" s="287"/>
      <c r="Q14" s="287"/>
      <c r="R14" s="287"/>
      <c r="S14" s="288"/>
      <c r="T14" s="288"/>
      <c r="U14" s="288"/>
      <c r="V14" s="288"/>
      <c r="W14" s="288"/>
      <c r="X14" s="289"/>
      <c r="Y14" s="326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22"/>
      <c r="AU14" s="113"/>
      <c r="AV14" s="113"/>
      <c r="AW14" s="113"/>
      <c r="AX14" s="113"/>
      <c r="AY14" s="113"/>
      <c r="AZ14" s="113"/>
      <c r="BA14" s="11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</row>
    <row r="15" spans="6:81" s="106" customFormat="1" ht="12.75" customHeight="1" thickBot="1">
      <c r="F15" s="116"/>
      <c r="G15" s="117"/>
      <c r="K15" s="331" t="str">
        <f>C10&amp;" "&amp;B10&amp;" "&amp;C13&amp;"               "&amp;C11&amp;" "&amp;B11&amp;" "&amp;C13&amp;"               "&amp;C12&amp;" "&amp;B12&amp;" "&amp;C13</f>
        <v>Temperatuur sissevoolul [°C] 75                 Temperatuur väljavoolul [°C] 65                 Ruumi temperatuur [°C] 20  </v>
      </c>
      <c r="L15" s="337"/>
      <c r="M15" s="337"/>
      <c r="N15" s="337"/>
      <c r="O15" s="337"/>
      <c r="P15" s="340"/>
      <c r="Q15" s="337"/>
      <c r="R15" s="337"/>
      <c r="S15" s="341"/>
      <c r="T15" s="341"/>
      <c r="U15" s="341"/>
      <c r="V15" s="341"/>
      <c r="W15" s="341"/>
      <c r="X15" s="342"/>
      <c r="Y15" s="34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23"/>
      <c r="AU15" s="124"/>
      <c r="AV15" s="124"/>
      <c r="AW15" s="124"/>
      <c r="AX15" s="124"/>
      <c r="AY15" s="123"/>
      <c r="AZ15" s="124"/>
      <c r="BA15" s="124"/>
      <c r="BB15" s="122"/>
      <c r="BC15" s="122"/>
      <c r="BD15" s="122"/>
      <c r="BE15" s="122"/>
      <c r="BF15" s="122"/>
      <c r="BG15" s="122"/>
      <c r="BH15" s="122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</row>
    <row r="16" spans="1:81" s="128" customFormat="1" ht="12.75" customHeight="1">
      <c r="A16" s="294" t="s">
        <v>0</v>
      </c>
      <c r="B16" s="295">
        <f>E11</f>
        <v>50</v>
      </c>
      <c r="C16" s="125" t="s">
        <v>2</v>
      </c>
      <c r="D16" s="126" t="s">
        <v>4</v>
      </c>
      <c r="E16" s="125" t="s">
        <v>3</v>
      </c>
      <c r="F16" s="127" t="s">
        <v>5</v>
      </c>
      <c r="K16" s="332" t="s">
        <v>101</v>
      </c>
      <c r="L16" s="437">
        <v>1400</v>
      </c>
      <c r="M16" s="438"/>
      <c r="N16" s="437">
        <v>1600</v>
      </c>
      <c r="O16" s="438"/>
      <c r="P16" s="437">
        <v>1800</v>
      </c>
      <c r="Q16" s="438"/>
      <c r="R16" s="437">
        <v>2000</v>
      </c>
      <c r="S16" s="438"/>
      <c r="T16" s="437">
        <v>2200</v>
      </c>
      <c r="U16" s="438"/>
      <c r="V16" s="437">
        <v>2400</v>
      </c>
      <c r="W16" s="438"/>
      <c r="X16" s="437">
        <v>2600</v>
      </c>
      <c r="Y16" s="438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129"/>
      <c r="AU16" s="130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2"/>
      <c r="BJ16" s="131"/>
      <c r="BK16" s="131"/>
      <c r="BL16" s="131"/>
      <c r="BM16" s="131"/>
      <c r="BN16" s="131"/>
      <c r="BO16" s="132"/>
      <c r="BP16" s="132"/>
      <c r="BQ16" s="132"/>
      <c r="BR16" s="132"/>
      <c r="BS16" s="132"/>
      <c r="BT16" s="132"/>
      <c r="BU16" s="132"/>
      <c r="BV16" s="132"/>
      <c r="BW16" s="131"/>
      <c r="BX16" s="131"/>
      <c r="BY16" s="131"/>
      <c r="BZ16" s="131"/>
      <c r="CA16" s="131"/>
      <c r="CB16" s="131"/>
      <c r="CC16" s="131"/>
    </row>
    <row r="17" spans="1:81" s="128" customFormat="1" ht="12.75" customHeight="1">
      <c r="A17" s="296" t="s">
        <v>71</v>
      </c>
      <c r="B17" s="297">
        <f>F11</f>
        <v>49.83288654563971</v>
      </c>
      <c r="C17" s="124"/>
      <c r="D17" s="126"/>
      <c r="E17" s="125" t="s">
        <v>6</v>
      </c>
      <c r="F17" s="127"/>
      <c r="K17" s="333" t="s">
        <v>100</v>
      </c>
      <c r="L17" s="429">
        <v>10</v>
      </c>
      <c r="M17" s="431">
        <v>20</v>
      </c>
      <c r="N17" s="429">
        <v>10</v>
      </c>
      <c r="O17" s="431">
        <v>20</v>
      </c>
      <c r="P17" s="429">
        <v>10</v>
      </c>
      <c r="Q17" s="431">
        <v>20</v>
      </c>
      <c r="R17" s="429">
        <v>10</v>
      </c>
      <c r="S17" s="431">
        <v>20</v>
      </c>
      <c r="T17" s="429">
        <v>10</v>
      </c>
      <c r="U17" s="431">
        <v>20</v>
      </c>
      <c r="V17" s="429">
        <v>10</v>
      </c>
      <c r="W17" s="431">
        <v>20</v>
      </c>
      <c r="X17" s="429">
        <v>10</v>
      </c>
      <c r="Y17" s="431">
        <v>20</v>
      </c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133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</row>
    <row r="18" spans="1:81" s="106" customFormat="1" ht="12.75" customHeight="1">
      <c r="A18" s="296" t="s">
        <v>70</v>
      </c>
      <c r="B18" s="297">
        <f>G11</f>
        <v>0.8181818181818182</v>
      </c>
      <c r="C18" s="136">
        <v>1.3124</v>
      </c>
      <c r="D18" s="137">
        <v>1216</v>
      </c>
      <c r="E18" s="135">
        <f>POWER(H11,C18)</f>
        <v>1</v>
      </c>
      <c r="F18" s="138">
        <f aca="true" t="shared" si="0" ref="F18:F30">D18*E18</f>
        <v>1216</v>
      </c>
      <c r="K18" s="334" t="s">
        <v>102</v>
      </c>
      <c r="L18" s="430"/>
      <c r="M18" s="432"/>
      <c r="N18" s="430"/>
      <c r="O18" s="432"/>
      <c r="P18" s="430"/>
      <c r="Q18" s="432"/>
      <c r="R18" s="434"/>
      <c r="S18" s="433"/>
      <c r="T18" s="434"/>
      <c r="U18" s="432"/>
      <c r="V18" s="434"/>
      <c r="W18" s="433"/>
      <c r="X18" s="434"/>
      <c r="Y18" s="433"/>
      <c r="Z18" s="436"/>
      <c r="AA18" s="436"/>
      <c r="AB18" s="435"/>
      <c r="AC18" s="436"/>
      <c r="AD18" s="436"/>
      <c r="AE18" s="436"/>
      <c r="AF18" s="436"/>
      <c r="AG18" s="436"/>
      <c r="AH18" s="436"/>
      <c r="AI18" s="435"/>
      <c r="AJ18" s="436"/>
      <c r="AK18" s="436"/>
      <c r="AL18" s="436"/>
      <c r="AM18" s="436"/>
      <c r="AN18" s="436"/>
      <c r="AO18" s="436"/>
      <c r="AP18" s="435"/>
      <c r="AQ18" s="436"/>
      <c r="AR18" s="436"/>
      <c r="AS18" s="436"/>
      <c r="AT18" s="133"/>
      <c r="AU18" s="139"/>
      <c r="AV18" s="134"/>
      <c r="AW18" s="134"/>
      <c r="AX18" s="134"/>
      <c r="AY18" s="134"/>
      <c r="AZ18" s="134"/>
      <c r="BA18" s="139"/>
      <c r="BB18" s="139"/>
      <c r="BC18" s="139"/>
      <c r="BD18" s="134"/>
      <c r="BE18" s="139"/>
      <c r="BF18" s="139"/>
      <c r="BG18" s="139"/>
      <c r="BH18" s="139"/>
      <c r="BI18" s="139"/>
      <c r="BJ18" s="139"/>
      <c r="BK18" s="134"/>
      <c r="BL18" s="139"/>
      <c r="BM18" s="139"/>
      <c r="BN18" s="139"/>
      <c r="BO18" s="139"/>
      <c r="BP18" s="139"/>
      <c r="BQ18" s="139"/>
      <c r="BR18" s="134"/>
      <c r="BS18" s="139"/>
      <c r="BT18" s="139"/>
      <c r="BU18" s="139"/>
      <c r="BV18" s="139"/>
      <c r="BW18" s="139"/>
      <c r="BX18" s="139"/>
      <c r="BY18" s="134"/>
      <c r="BZ18" s="139"/>
      <c r="CA18" s="139"/>
      <c r="CB18" s="139"/>
      <c r="CC18" s="139"/>
    </row>
    <row r="19" spans="1:88" ht="12.75" customHeight="1" thickBot="1">
      <c r="A19" s="298" t="s">
        <v>111</v>
      </c>
      <c r="B19" s="299">
        <f>H11</f>
        <v>1</v>
      </c>
      <c r="C19" s="136">
        <v>1.3487</v>
      </c>
      <c r="D19" s="137">
        <v>1350</v>
      </c>
      <c r="E19" s="135">
        <f>POWER(H11,C19)</f>
        <v>1</v>
      </c>
      <c r="F19" s="138">
        <f t="shared" si="0"/>
        <v>1350</v>
      </c>
      <c r="J19" s="106"/>
      <c r="K19" s="335">
        <v>300</v>
      </c>
      <c r="L19" s="338">
        <f aca="true" t="shared" si="1" ref="L19:L24">ROUND(T10V_1400*K19/1000,0)</f>
        <v>365</v>
      </c>
      <c r="M19" s="328">
        <f aca="true" t="shared" si="2" ref="M19:M24">ROUND(T20V_1400*K19/1000,0)</f>
        <v>612</v>
      </c>
      <c r="N19" s="338">
        <f aca="true" t="shared" si="3" ref="N19:N24">ROUND(T10V_1600*K19/1000,0)</f>
        <v>405</v>
      </c>
      <c r="O19" s="328">
        <f aca="true" t="shared" si="4" ref="O19:O24">ROUND(T20V_1600*K19/1000,0)</f>
        <v>683</v>
      </c>
      <c r="P19" s="338">
        <f aca="true" t="shared" si="5" ref="P19:P24">ROUND(T10V_1800*K19/1000,0)</f>
        <v>450</v>
      </c>
      <c r="Q19" s="328">
        <f aca="true" t="shared" si="6" ref="Q19:Q24">ROUND(T20V_1800*K19/1000,0)</f>
        <v>753</v>
      </c>
      <c r="R19" s="338">
        <f aca="true" t="shared" si="7" ref="R19:R24">ROUND(T10V_2000*K19/1000,0)</f>
        <v>501</v>
      </c>
      <c r="S19" s="328">
        <f aca="true" t="shared" si="8" ref="S19:S24">ROUND(T20V_2000*K19/1000,0)</f>
        <v>824</v>
      </c>
      <c r="T19" s="338">
        <f aca="true" t="shared" si="9" ref="T19:T24">ROUND(T10V_2200*K19/1000,0)</f>
        <v>558</v>
      </c>
      <c r="U19" s="328">
        <f aca="true" t="shared" si="10" ref="U19:U24">ROUND(T20V_2200*K19/1000,0)</f>
        <v>895</v>
      </c>
      <c r="V19" s="338">
        <f aca="true" t="shared" si="11" ref="V19:V24">ROUND(T10V_2400*K19/1000,0)</f>
        <v>622</v>
      </c>
      <c r="W19" s="328">
        <f aca="true" t="shared" si="12" ref="W19:W24">ROUND(T20V_2400*K19/1000,0)</f>
        <v>968</v>
      </c>
      <c r="X19" s="338">
        <f aca="true" t="shared" si="13" ref="X19:X24">ROUND(T10V_2600*K19/1000,0)</f>
        <v>694</v>
      </c>
      <c r="Y19" s="328">
        <f aca="true" t="shared" si="14" ref="Y19:Y24">ROUND(T20V_2600*K19/1000,0)</f>
        <v>1041</v>
      </c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06"/>
      <c r="CE19" s="106"/>
      <c r="CF19" s="106"/>
      <c r="CG19" s="106"/>
      <c r="CH19" s="106"/>
      <c r="CI19" s="106"/>
      <c r="CJ19" s="106"/>
    </row>
    <row r="20" spans="2:88" ht="12.75" customHeight="1">
      <c r="B20" s="135"/>
      <c r="C20" s="136">
        <v>1.3849</v>
      </c>
      <c r="D20" s="137">
        <v>1501</v>
      </c>
      <c r="E20" s="135">
        <f>POWER(H11,C20)</f>
        <v>1</v>
      </c>
      <c r="F20" s="138">
        <f t="shared" si="0"/>
        <v>1501</v>
      </c>
      <c r="J20" s="106"/>
      <c r="K20" s="336">
        <v>400</v>
      </c>
      <c r="L20" s="327">
        <f t="shared" si="1"/>
        <v>486</v>
      </c>
      <c r="M20" s="329">
        <f t="shared" si="2"/>
        <v>816</v>
      </c>
      <c r="N20" s="327">
        <f t="shared" si="3"/>
        <v>540</v>
      </c>
      <c r="O20" s="329">
        <f t="shared" si="4"/>
        <v>910</v>
      </c>
      <c r="P20" s="327">
        <f t="shared" si="5"/>
        <v>600</v>
      </c>
      <c r="Q20" s="329">
        <f t="shared" si="6"/>
        <v>1004</v>
      </c>
      <c r="R20" s="327">
        <f t="shared" si="7"/>
        <v>668</v>
      </c>
      <c r="S20" s="329">
        <f t="shared" si="8"/>
        <v>1098</v>
      </c>
      <c r="T20" s="327">
        <f t="shared" si="9"/>
        <v>744</v>
      </c>
      <c r="U20" s="329">
        <f t="shared" si="10"/>
        <v>1194</v>
      </c>
      <c r="V20" s="327">
        <f t="shared" si="11"/>
        <v>830</v>
      </c>
      <c r="W20" s="329">
        <f t="shared" si="12"/>
        <v>1290</v>
      </c>
      <c r="X20" s="327">
        <f t="shared" si="13"/>
        <v>925</v>
      </c>
      <c r="Y20" s="329">
        <f t="shared" si="14"/>
        <v>1388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06"/>
      <c r="CE20" s="106"/>
      <c r="CF20" s="106"/>
      <c r="CG20" s="106"/>
      <c r="CH20" s="106"/>
      <c r="CI20" s="106"/>
      <c r="CJ20" s="106"/>
    </row>
    <row r="21" spans="2:88" ht="12.75" customHeight="1">
      <c r="B21" s="135"/>
      <c r="C21" s="136">
        <v>1.4212</v>
      </c>
      <c r="D21" s="137">
        <v>1671</v>
      </c>
      <c r="E21" s="135">
        <f>POWER(H11,C21)</f>
        <v>1</v>
      </c>
      <c r="F21" s="138">
        <f t="shared" si="0"/>
        <v>1671</v>
      </c>
      <c r="K21" s="335">
        <v>500</v>
      </c>
      <c r="L21" s="338">
        <f t="shared" si="1"/>
        <v>608</v>
      </c>
      <c r="M21" s="328">
        <f t="shared" si="2"/>
        <v>1021</v>
      </c>
      <c r="N21" s="338">
        <f t="shared" si="3"/>
        <v>675</v>
      </c>
      <c r="O21" s="328">
        <f t="shared" si="4"/>
        <v>1138</v>
      </c>
      <c r="P21" s="338">
        <f t="shared" si="5"/>
        <v>751</v>
      </c>
      <c r="Q21" s="328">
        <f t="shared" si="6"/>
        <v>1255</v>
      </c>
      <c r="R21" s="338">
        <f t="shared" si="7"/>
        <v>836</v>
      </c>
      <c r="S21" s="328">
        <f t="shared" si="8"/>
        <v>1373</v>
      </c>
      <c r="T21" s="338">
        <f t="shared" si="9"/>
        <v>931</v>
      </c>
      <c r="U21" s="328">
        <f t="shared" si="10"/>
        <v>1492</v>
      </c>
      <c r="V21" s="338">
        <f t="shared" si="11"/>
        <v>1037</v>
      </c>
      <c r="W21" s="328">
        <f t="shared" si="12"/>
        <v>1613</v>
      </c>
      <c r="X21" s="338">
        <f t="shared" si="13"/>
        <v>1157</v>
      </c>
      <c r="Y21" s="328">
        <f t="shared" si="14"/>
        <v>1735</v>
      </c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06"/>
      <c r="CE21" s="106"/>
      <c r="CF21" s="106"/>
      <c r="CG21" s="106"/>
      <c r="CH21" s="106"/>
      <c r="CI21" s="106"/>
      <c r="CJ21" s="106"/>
    </row>
    <row r="22" spans="2:88" ht="12.75" customHeight="1">
      <c r="B22" s="107"/>
      <c r="C22" s="140">
        <v>1.3998</v>
      </c>
      <c r="D22" s="141">
        <v>1861</v>
      </c>
      <c r="E22" s="107">
        <f>POWER(H11,C22)</f>
        <v>1</v>
      </c>
      <c r="F22" s="138">
        <f t="shared" si="0"/>
        <v>1861</v>
      </c>
      <c r="K22" s="336">
        <v>600</v>
      </c>
      <c r="L22" s="327">
        <f t="shared" si="1"/>
        <v>730</v>
      </c>
      <c r="M22" s="329">
        <f t="shared" si="2"/>
        <v>1225</v>
      </c>
      <c r="N22" s="327">
        <f t="shared" si="3"/>
        <v>810</v>
      </c>
      <c r="O22" s="329">
        <f t="shared" si="4"/>
        <v>1365</v>
      </c>
      <c r="P22" s="327">
        <f t="shared" si="5"/>
        <v>901</v>
      </c>
      <c r="Q22" s="329">
        <f t="shared" si="6"/>
        <v>1506</v>
      </c>
      <c r="R22" s="327">
        <f t="shared" si="7"/>
        <v>1003</v>
      </c>
      <c r="S22" s="329">
        <f t="shared" si="8"/>
        <v>1648</v>
      </c>
      <c r="T22" s="327">
        <f t="shared" si="9"/>
        <v>1117</v>
      </c>
      <c r="U22" s="329">
        <f t="shared" si="10"/>
        <v>1790</v>
      </c>
      <c r="V22" s="327">
        <f t="shared" si="11"/>
        <v>1244</v>
      </c>
      <c r="W22" s="329">
        <f t="shared" si="12"/>
        <v>1935</v>
      </c>
      <c r="X22" s="327">
        <f t="shared" si="13"/>
        <v>1388</v>
      </c>
      <c r="Y22" s="329">
        <f t="shared" si="14"/>
        <v>2082</v>
      </c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06"/>
      <c r="CE22" s="106"/>
      <c r="CF22" s="106"/>
      <c r="CG22" s="106"/>
      <c r="CH22" s="106"/>
      <c r="CI22" s="106"/>
      <c r="CJ22" s="106"/>
    </row>
    <row r="23" spans="2:88" ht="12.75" customHeight="1">
      <c r="B23" s="107"/>
      <c r="C23" s="140">
        <v>1.3783</v>
      </c>
      <c r="D23" s="141">
        <v>2074</v>
      </c>
      <c r="E23" s="107">
        <f>POWER(H11,C23)</f>
        <v>1</v>
      </c>
      <c r="F23" s="138">
        <f t="shared" si="0"/>
        <v>2074</v>
      </c>
      <c r="K23" s="335">
        <v>750</v>
      </c>
      <c r="L23" s="338">
        <f t="shared" si="1"/>
        <v>912</v>
      </c>
      <c r="M23" s="328">
        <f t="shared" si="2"/>
        <v>1531</v>
      </c>
      <c r="N23" s="338">
        <f t="shared" si="3"/>
        <v>1013</v>
      </c>
      <c r="O23" s="328">
        <f t="shared" si="4"/>
        <v>1706</v>
      </c>
      <c r="P23" s="338">
        <f t="shared" si="5"/>
        <v>1126</v>
      </c>
      <c r="Q23" s="328">
        <f t="shared" si="6"/>
        <v>1883</v>
      </c>
      <c r="R23" s="338">
        <f t="shared" si="7"/>
        <v>1253</v>
      </c>
      <c r="S23" s="328">
        <f t="shared" si="8"/>
        <v>2060</v>
      </c>
      <c r="T23" s="338">
        <f t="shared" si="9"/>
        <v>1396</v>
      </c>
      <c r="U23" s="328">
        <f t="shared" si="10"/>
        <v>2238</v>
      </c>
      <c r="V23" s="338">
        <f t="shared" si="11"/>
        <v>1556</v>
      </c>
      <c r="W23" s="328">
        <f t="shared" si="12"/>
        <v>2419</v>
      </c>
      <c r="X23" s="338">
        <f t="shared" si="13"/>
        <v>1735</v>
      </c>
      <c r="Y23" s="328">
        <f t="shared" si="14"/>
        <v>2603</v>
      </c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06"/>
      <c r="CE23" s="106"/>
      <c r="CF23" s="106"/>
      <c r="CG23" s="106"/>
      <c r="CH23" s="106"/>
      <c r="CI23" s="106"/>
      <c r="CJ23" s="106"/>
    </row>
    <row r="24" spans="2:88" ht="12.75" customHeight="1">
      <c r="B24" s="324"/>
      <c r="C24" s="143">
        <v>1.358</v>
      </c>
      <c r="D24" s="144">
        <v>2313</v>
      </c>
      <c r="E24" s="142">
        <f>POWER(H11,C24)</f>
        <v>1</v>
      </c>
      <c r="F24" s="145">
        <f>D24*E24</f>
        <v>2313</v>
      </c>
      <c r="K24" s="336">
        <v>900</v>
      </c>
      <c r="L24" s="327">
        <f t="shared" si="1"/>
        <v>1094</v>
      </c>
      <c r="M24" s="329">
        <f t="shared" si="2"/>
        <v>1837</v>
      </c>
      <c r="N24" s="327">
        <f t="shared" si="3"/>
        <v>1215</v>
      </c>
      <c r="O24" s="329">
        <f t="shared" si="4"/>
        <v>2048</v>
      </c>
      <c r="P24" s="327">
        <f t="shared" si="5"/>
        <v>1351</v>
      </c>
      <c r="Q24" s="329">
        <f t="shared" si="6"/>
        <v>2259</v>
      </c>
      <c r="R24" s="327">
        <f t="shared" si="7"/>
        <v>1504</v>
      </c>
      <c r="S24" s="329">
        <f t="shared" si="8"/>
        <v>2471</v>
      </c>
      <c r="T24" s="327">
        <f t="shared" si="9"/>
        <v>1675</v>
      </c>
      <c r="U24" s="329">
        <f t="shared" si="10"/>
        <v>2686</v>
      </c>
      <c r="V24" s="327">
        <f t="shared" si="11"/>
        <v>1867</v>
      </c>
      <c r="W24" s="329">
        <f t="shared" si="12"/>
        <v>2903</v>
      </c>
      <c r="X24" s="327">
        <f t="shared" si="13"/>
        <v>2082</v>
      </c>
      <c r="Y24" s="329">
        <f t="shared" si="14"/>
        <v>3123</v>
      </c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06"/>
      <c r="CE24" s="106"/>
      <c r="CF24" s="106"/>
      <c r="CG24" s="106"/>
      <c r="CH24" s="106"/>
      <c r="CI24" s="106"/>
      <c r="CJ24" s="106"/>
    </row>
    <row r="25" spans="2:91" ht="12.75" customHeight="1" thickBot="1">
      <c r="B25" s="107"/>
      <c r="C25" s="140">
        <v>1.3134</v>
      </c>
      <c r="D25" s="141">
        <v>2041</v>
      </c>
      <c r="E25" s="107">
        <f>POWER(H11,C25)</f>
        <v>1</v>
      </c>
      <c r="F25" s="138">
        <f t="shared" si="0"/>
        <v>2041</v>
      </c>
      <c r="K25" s="395" t="s">
        <v>96</v>
      </c>
      <c r="L25" s="339">
        <f>ROUND(C18,3)</f>
        <v>1.312</v>
      </c>
      <c r="M25" s="330">
        <f>ROUND(C25,3)</f>
        <v>1.313</v>
      </c>
      <c r="N25" s="339">
        <f>ROUND(C19,3)</f>
        <v>1.349</v>
      </c>
      <c r="O25" s="330">
        <f>ROUND(C26,3)</f>
        <v>1.325</v>
      </c>
      <c r="P25" s="339">
        <f>ROUND(C20,3)</f>
        <v>1.385</v>
      </c>
      <c r="Q25" s="330">
        <f>ROUND(C27,3)</f>
        <v>1.336</v>
      </c>
      <c r="R25" s="339">
        <f>ROUND(C21,3)</f>
        <v>1.421</v>
      </c>
      <c r="S25" s="330">
        <f>ROUND(C28,3)</f>
        <v>1.347</v>
      </c>
      <c r="T25" s="339">
        <f>ROUND(C22,3)</f>
        <v>1.4</v>
      </c>
      <c r="U25" s="330">
        <f>ROUND(C29,3)</f>
        <v>1.365</v>
      </c>
      <c r="V25" s="339">
        <f>ROUND(C23,3)</f>
        <v>1.378</v>
      </c>
      <c r="W25" s="330">
        <f>ROUND(C30,3)</f>
        <v>1.383</v>
      </c>
      <c r="X25" s="339">
        <f>ROUND(C24,3)</f>
        <v>1.358</v>
      </c>
      <c r="Y25" s="330">
        <f>ROUND(C31,3)</f>
        <v>1.403</v>
      </c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7"/>
      <c r="CE25" s="148"/>
      <c r="CF25" s="148"/>
      <c r="CG25" s="148"/>
      <c r="CH25" s="148"/>
      <c r="CI25" s="148"/>
      <c r="CJ25" s="148"/>
      <c r="CK25" s="148"/>
      <c r="CL25" s="148"/>
      <c r="CM25" s="148"/>
    </row>
    <row r="26" spans="2:82" ht="18" customHeight="1">
      <c r="B26" s="107"/>
      <c r="C26" s="140">
        <v>1.3245</v>
      </c>
      <c r="D26" s="141">
        <v>2275</v>
      </c>
      <c r="E26" s="107">
        <f>POWER(H11,C26)</f>
        <v>1</v>
      </c>
      <c r="F26" s="138">
        <f t="shared" si="0"/>
        <v>2275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41"/>
    </row>
    <row r="27" spans="2:82" ht="18" customHeight="1">
      <c r="B27" s="107"/>
      <c r="C27" s="140">
        <v>1.3357</v>
      </c>
      <c r="D27" s="141">
        <v>2510</v>
      </c>
      <c r="E27" s="107">
        <f>POWER(H11,C27)</f>
        <v>1</v>
      </c>
      <c r="F27" s="138">
        <f t="shared" si="0"/>
        <v>2510</v>
      </c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41"/>
    </row>
    <row r="28" spans="2:82" ht="18" customHeight="1">
      <c r="B28" s="107"/>
      <c r="C28" s="140">
        <v>1.3468</v>
      </c>
      <c r="D28" s="141">
        <v>2746</v>
      </c>
      <c r="E28" s="107">
        <f>POWER(H11,C28)</f>
        <v>1</v>
      </c>
      <c r="F28" s="138">
        <f t="shared" si="0"/>
        <v>2746</v>
      </c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41"/>
    </row>
    <row r="29" spans="2:82" ht="18" customHeight="1">
      <c r="B29" s="107"/>
      <c r="C29" s="140">
        <v>1.3647</v>
      </c>
      <c r="D29" s="141">
        <v>2984</v>
      </c>
      <c r="E29" s="107">
        <f>POWER(H11,C29)</f>
        <v>1</v>
      </c>
      <c r="F29" s="138">
        <f t="shared" si="0"/>
        <v>2984</v>
      </c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41"/>
    </row>
    <row r="30" spans="2:82" ht="18" customHeight="1">
      <c r="B30" s="107"/>
      <c r="C30" s="140">
        <v>1.3826</v>
      </c>
      <c r="D30" s="141">
        <v>3225</v>
      </c>
      <c r="E30" s="107">
        <f>POWER(H11,C30)</f>
        <v>1</v>
      </c>
      <c r="F30" s="138">
        <f t="shared" si="0"/>
        <v>3225</v>
      </c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41"/>
    </row>
    <row r="31" spans="2:82" ht="18" customHeight="1">
      <c r="B31" s="324"/>
      <c r="C31" s="143">
        <v>1.4025</v>
      </c>
      <c r="D31" s="144">
        <v>3470</v>
      </c>
      <c r="E31" s="142">
        <f>POWER(H11,C31)</f>
        <v>1</v>
      </c>
      <c r="F31" s="145">
        <f>D31*E31</f>
        <v>3470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41"/>
    </row>
    <row r="32" spans="3:81" ht="12.75">
      <c r="C32" s="140"/>
      <c r="D32" s="141"/>
      <c r="E32" s="107"/>
      <c r="F32" s="138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</row>
    <row r="33" spans="3:81" ht="12.75">
      <c r="C33" s="140"/>
      <c r="D33" s="141"/>
      <c r="E33" s="107"/>
      <c r="F33" s="138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</row>
    <row r="34" spans="2:81" ht="12.75">
      <c r="B34" s="149"/>
      <c r="C34" s="286"/>
      <c r="D34" s="141"/>
      <c r="E34" s="107"/>
      <c r="F34" s="138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</row>
    <row r="35" spans="2:81" ht="12.75">
      <c r="B35" s="150"/>
      <c r="C35" s="286"/>
      <c r="D35" s="141"/>
      <c r="E35" s="107"/>
      <c r="F35" s="138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</row>
    <row r="36" spans="3:81" ht="12.75">
      <c r="C36" s="140"/>
      <c r="D36" s="141"/>
      <c r="E36" s="107"/>
      <c r="F36" s="138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</row>
    <row r="37" spans="3:81" ht="12.75">
      <c r="C37" s="140"/>
      <c r="D37" s="141"/>
      <c r="E37" s="107"/>
      <c r="F37" s="138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</row>
    <row r="38" spans="3:6" ht="12.75">
      <c r="C38" s="140"/>
      <c r="D38" s="141"/>
      <c r="E38" s="107"/>
      <c r="F38" s="138"/>
    </row>
    <row r="39" spans="3:6" ht="12.75">
      <c r="C39" s="140"/>
      <c r="D39" s="141"/>
      <c r="E39" s="107"/>
      <c r="F39" s="138"/>
    </row>
    <row r="40" spans="3:6" ht="12.75">
      <c r="C40" s="140"/>
      <c r="D40" s="141"/>
      <c r="E40" s="107"/>
      <c r="F40" s="138"/>
    </row>
    <row r="41" spans="3:6" ht="12.75">
      <c r="C41" s="140"/>
      <c r="D41" s="141"/>
      <c r="E41" s="107"/>
      <c r="F41" s="138"/>
    </row>
    <row r="42" spans="3:6" ht="12.75">
      <c r="C42" s="140"/>
      <c r="D42" s="141"/>
      <c r="E42" s="107"/>
      <c r="F42" s="138"/>
    </row>
    <row r="43" spans="3:6" ht="12.75">
      <c r="C43" s="140"/>
      <c r="D43" s="141"/>
      <c r="E43" s="107"/>
      <c r="F43" s="138"/>
    </row>
    <row r="44" spans="3:6" ht="12.75">
      <c r="C44" s="140"/>
      <c r="D44" s="141"/>
      <c r="E44" s="107"/>
      <c r="F44" s="138"/>
    </row>
    <row r="45" spans="3:6" ht="12.75">
      <c r="C45" s="140"/>
      <c r="D45" s="141"/>
      <c r="E45" s="107"/>
      <c r="F45" s="138"/>
    </row>
    <row r="46" spans="3:6" ht="12.75">
      <c r="C46" s="140"/>
      <c r="D46" s="141"/>
      <c r="E46" s="107"/>
      <c r="F46" s="138"/>
    </row>
    <row r="47" spans="3:6" ht="12.75">
      <c r="C47" s="140"/>
      <c r="D47" s="141"/>
      <c r="E47" s="107"/>
      <c r="F47" s="138"/>
    </row>
    <row r="48" spans="3:6" ht="12.75">
      <c r="C48" s="140"/>
      <c r="D48" s="141"/>
      <c r="E48" s="107"/>
      <c r="F48" s="138"/>
    </row>
    <row r="49" spans="3:6" ht="12.75">
      <c r="C49" s="140"/>
      <c r="D49" s="141"/>
      <c r="E49" s="107"/>
      <c r="F49" s="138"/>
    </row>
    <row r="50" spans="3:6" ht="12.75">
      <c r="C50" s="140"/>
      <c r="D50" s="141"/>
      <c r="E50" s="107"/>
      <c r="F50" s="138"/>
    </row>
    <row r="51" spans="3:6" ht="12.75">
      <c r="C51" s="140"/>
      <c r="D51" s="141"/>
      <c r="E51" s="107"/>
      <c r="F51" s="138"/>
    </row>
    <row r="52" spans="3:6" ht="12.75">
      <c r="C52" s="140"/>
      <c r="D52" s="141"/>
      <c r="E52" s="107"/>
      <c r="F52" s="138"/>
    </row>
    <row r="53" spans="3:6" ht="12.75">
      <c r="C53" s="140"/>
      <c r="D53" s="141"/>
      <c r="E53" s="107"/>
      <c r="F53" s="138"/>
    </row>
    <row r="54" spans="3:6" ht="12.75">
      <c r="C54" s="140"/>
      <c r="D54" s="141"/>
      <c r="E54" s="107"/>
      <c r="F54" s="138"/>
    </row>
    <row r="55" spans="3:6" ht="12.75">
      <c r="C55" s="140"/>
      <c r="D55" s="141"/>
      <c r="E55" s="107"/>
      <c r="F55" s="138"/>
    </row>
    <row r="56" spans="3:6" ht="12.75">
      <c r="C56" s="140"/>
      <c r="D56" s="141"/>
      <c r="E56" s="107"/>
      <c r="F56" s="138"/>
    </row>
    <row r="57" spans="3:6" ht="12.75">
      <c r="C57" s="140"/>
      <c r="D57" s="141"/>
      <c r="E57" s="107"/>
      <c r="F57" s="138"/>
    </row>
    <row r="58" spans="3:6" ht="12.75">
      <c r="C58" s="140"/>
      <c r="D58" s="141"/>
      <c r="E58" s="107"/>
      <c r="F58" s="138"/>
    </row>
    <row r="59" spans="3:6" ht="12.75">
      <c r="C59" s="140"/>
      <c r="D59" s="141"/>
      <c r="E59" s="107"/>
      <c r="F59" s="138"/>
    </row>
    <row r="60" spans="3:6" ht="12.75">
      <c r="C60" s="140"/>
      <c r="D60" s="141"/>
      <c r="E60" s="107"/>
      <c r="F60" s="138"/>
    </row>
    <row r="61" spans="3:6" ht="12.75">
      <c r="C61" s="140"/>
      <c r="D61" s="141"/>
      <c r="E61" s="107"/>
      <c r="F61" s="138"/>
    </row>
    <row r="62" spans="3:6" ht="12.75">
      <c r="C62" s="140"/>
      <c r="D62" s="141"/>
      <c r="E62" s="107"/>
      <c r="F62" s="138"/>
    </row>
    <row r="63" spans="3:6" ht="12.75">
      <c r="C63" s="140"/>
      <c r="D63" s="141"/>
      <c r="E63" s="107"/>
      <c r="F63" s="138"/>
    </row>
    <row r="64" spans="3:6" ht="12.75">
      <c r="C64" s="140"/>
      <c r="D64" s="141"/>
      <c r="E64" s="107"/>
      <c r="F64" s="138"/>
    </row>
    <row r="65" spans="3:6" ht="12.75">
      <c r="C65" s="140"/>
      <c r="D65" s="141"/>
      <c r="E65" s="107"/>
      <c r="F65" s="138"/>
    </row>
    <row r="66" spans="3:6" ht="12.75">
      <c r="C66" s="140"/>
      <c r="D66" s="141"/>
      <c r="E66" s="107"/>
      <c r="F66" s="138"/>
    </row>
    <row r="67" spans="3:6" ht="12.75">
      <c r="C67" s="140"/>
      <c r="D67" s="141"/>
      <c r="E67" s="107"/>
      <c r="F67" s="138"/>
    </row>
    <row r="68" spans="3:6" ht="12.75">
      <c r="C68" s="140"/>
      <c r="D68" s="141"/>
      <c r="E68" s="107"/>
      <c r="F68" s="138"/>
    </row>
    <row r="69" spans="3:6" ht="12.75">
      <c r="C69" s="140"/>
      <c r="D69" s="141"/>
      <c r="E69" s="107"/>
      <c r="F69" s="138"/>
    </row>
    <row r="70" spans="3:6" ht="12.75">
      <c r="C70" s="140"/>
      <c r="D70" s="141"/>
      <c r="E70" s="107"/>
      <c r="F70" s="138"/>
    </row>
    <row r="71" spans="3:6" ht="12.75">
      <c r="C71" s="140"/>
      <c r="D71" s="141"/>
      <c r="E71" s="107"/>
      <c r="F71" s="138"/>
    </row>
    <row r="72" spans="3:6" ht="12.75">
      <c r="C72" s="140"/>
      <c r="D72" s="141"/>
      <c r="E72" s="107"/>
      <c r="F72" s="138"/>
    </row>
    <row r="73" spans="3:6" ht="12.75">
      <c r="C73" s="140"/>
      <c r="D73" s="141"/>
      <c r="E73" s="107"/>
      <c r="F73" s="138"/>
    </row>
    <row r="74" spans="3:6" ht="12.75">
      <c r="C74" s="140"/>
      <c r="D74" s="141"/>
      <c r="E74" s="107"/>
      <c r="F74" s="138"/>
    </row>
    <row r="75" ht="12.75">
      <c r="C75" s="148"/>
    </row>
    <row r="76" ht="12.75">
      <c r="C76" s="148"/>
    </row>
    <row r="77" spans="2:3" ht="12.75">
      <c r="B77" s="106"/>
      <c r="C77" s="148"/>
    </row>
    <row r="78" ht="12.75">
      <c r="C78" s="148"/>
    </row>
    <row r="79" ht="12.75">
      <c r="C79" s="148"/>
    </row>
    <row r="80" ht="12.75">
      <c r="C80" s="148"/>
    </row>
    <row r="81" ht="12.75">
      <c r="C81" s="148"/>
    </row>
    <row r="82" ht="12.75">
      <c r="C82" s="148"/>
    </row>
    <row r="83" ht="12.75">
      <c r="C83" s="148"/>
    </row>
    <row r="84" ht="12.75">
      <c r="C84" s="148"/>
    </row>
    <row r="85" ht="12.75">
      <c r="C85" s="148"/>
    </row>
  </sheetData>
  <sheetProtection password="DC1D" sheet="1" objects="1" scenarios="1" selectLockedCells="1"/>
  <mergeCells count="52">
    <mergeCell ref="AR16:AS16"/>
    <mergeCell ref="AJ16:AK16"/>
    <mergeCell ref="AL16:AM16"/>
    <mergeCell ref="AN16:AO16"/>
    <mergeCell ref="AP16:AQ16"/>
    <mergeCell ref="AB16:AC16"/>
    <mergeCell ref="AD16:AE16"/>
    <mergeCell ref="AF16:AG16"/>
    <mergeCell ref="AH16:AI16"/>
    <mergeCell ref="T16:U16"/>
    <mergeCell ref="V16:W16"/>
    <mergeCell ref="X16:Y16"/>
    <mergeCell ref="Z16:AA16"/>
    <mergeCell ref="L16:M16"/>
    <mergeCell ref="N16:O16"/>
    <mergeCell ref="P16:Q16"/>
    <mergeCell ref="R16:S16"/>
    <mergeCell ref="AQ17:AQ18"/>
    <mergeCell ref="AR17:AR18"/>
    <mergeCell ref="AS17:AS18"/>
    <mergeCell ref="AM17:AM18"/>
    <mergeCell ref="AN17:AN18"/>
    <mergeCell ref="AO17:AO18"/>
    <mergeCell ref="AP17:AP18"/>
    <mergeCell ref="AI17:AI18"/>
    <mergeCell ref="AJ17:AJ18"/>
    <mergeCell ref="AK17:AK18"/>
    <mergeCell ref="AL17:AL18"/>
    <mergeCell ref="AE17:AE18"/>
    <mergeCell ref="AF17:AF18"/>
    <mergeCell ref="AG17:AG18"/>
    <mergeCell ref="AH17:AH18"/>
    <mergeCell ref="Q17:Q18"/>
    <mergeCell ref="R17:R18"/>
    <mergeCell ref="AA17:AA18"/>
    <mergeCell ref="AB17:AB18"/>
    <mergeCell ref="AC17:AC18"/>
    <mergeCell ref="AD17:AD18"/>
    <mergeCell ref="W17:W18"/>
    <mergeCell ref="X17:X18"/>
    <mergeCell ref="Y17:Y18"/>
    <mergeCell ref="Z17:Z18"/>
    <mergeCell ref="K13:Y13"/>
    <mergeCell ref="L17:L18"/>
    <mergeCell ref="M17:M18"/>
    <mergeCell ref="N17:N18"/>
    <mergeCell ref="O17:O18"/>
    <mergeCell ref="S17:S18"/>
    <mergeCell ref="T17:T18"/>
    <mergeCell ref="U17:U18"/>
    <mergeCell ref="V17:V18"/>
    <mergeCell ref="P17:P18"/>
  </mergeCells>
  <printOptions horizontalCentered="1"/>
  <pageMargins left="0.1968503937007874" right="0.1968503937007874" top="0.984251968503937" bottom="0.984251968503937" header="0.5118110236220472" footer="0.2362204724409449"/>
  <pageSetup horizontalDpi="300" verticalDpi="300" orientation="landscape" paperSize="9" r:id="rId2"/>
  <headerFooter alignWithMargins="0">
    <oddFooter>&amp;CSeite &amp;P von &amp;N&amp;R&amp;A
Vogel &amp; Noot WT AG
Abteilung: F u. E
&amp;D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tabColor indexed="41"/>
  </sheetPr>
  <dimension ref="A1:EB85"/>
  <sheetViews>
    <sheetView showGridLines="0" zoomScalePageLayoutView="0" workbookViewId="0" topLeftCell="A1">
      <pane xSplit="2" topLeftCell="C1" activePane="topRight" state="frozen"/>
      <selection pane="topLeft" activeCell="AI46" sqref="AI46"/>
      <selection pane="topRight" activeCell="B10" sqref="B10:B12"/>
    </sheetView>
  </sheetViews>
  <sheetFormatPr defaultColWidth="11.57421875" defaultRowHeight="12.75"/>
  <cols>
    <col min="1" max="1" width="25.8515625" style="2" customWidth="1"/>
    <col min="2" max="2" width="10.7109375" style="7" customWidth="1"/>
    <col min="3" max="3" width="12.28125" style="2" hidden="1" customWidth="1"/>
    <col min="4" max="4" width="8.7109375" style="2" hidden="1" customWidth="1"/>
    <col min="5" max="5" width="12.7109375" style="2" hidden="1" customWidth="1"/>
    <col min="6" max="6" width="12.28125" style="2" hidden="1" customWidth="1"/>
    <col min="7" max="7" width="15.140625" style="24" hidden="1" customWidth="1"/>
    <col min="8" max="8" width="12.28125" style="3" hidden="1" customWidth="1"/>
    <col min="9" max="10" width="11.57421875" style="2" hidden="1" customWidth="1"/>
    <col min="11" max="11" width="3.140625" style="2" customWidth="1"/>
    <col min="12" max="12" width="11.140625" style="4" customWidth="1"/>
    <col min="13" max="19" width="9.28125" style="5" customWidth="1"/>
    <col min="20" max="24" width="9.28125" style="4" customWidth="1"/>
    <col min="25" max="44" width="5.7109375" style="55" customWidth="1"/>
    <col min="45" max="45" width="6.7109375" style="13" customWidth="1"/>
    <col min="46" max="57" width="4.00390625" style="6" customWidth="1"/>
    <col min="58" max="80" width="4.00390625" style="2" customWidth="1"/>
    <col min="81" max="16384" width="11.57421875" style="2" customWidth="1"/>
  </cols>
  <sheetData>
    <row r="1" spans="2:80" ht="20.25" hidden="1">
      <c r="B1" s="302"/>
      <c r="C1" s="1"/>
      <c r="CA1" s="10"/>
      <c r="CB1" s="10"/>
    </row>
    <row r="2" spans="5:80" ht="12.75" hidden="1">
      <c r="E2" s="7"/>
      <c r="F2" s="7"/>
      <c r="G2" s="25"/>
      <c r="H2" s="8"/>
      <c r="CA2" s="10"/>
      <c r="CB2" s="10"/>
    </row>
    <row r="3" spans="5:80" ht="12.75">
      <c r="E3" s="7"/>
      <c r="F3" s="7"/>
      <c r="G3" s="25"/>
      <c r="H3" s="8"/>
      <c r="CA3" s="10"/>
      <c r="CB3" s="10"/>
    </row>
    <row r="4" spans="5:80" ht="12.75">
      <c r="E4" s="7"/>
      <c r="F4" s="7"/>
      <c r="G4" s="25"/>
      <c r="H4" s="8"/>
      <c r="CA4" s="10"/>
      <c r="CB4" s="10"/>
    </row>
    <row r="5" spans="5:80" ht="12.75">
      <c r="E5" s="7"/>
      <c r="F5" s="7"/>
      <c r="G5" s="25"/>
      <c r="H5" s="8"/>
      <c r="CA5" s="10"/>
      <c r="CB5" s="10"/>
    </row>
    <row r="6" spans="2:80" ht="12.75" hidden="1">
      <c r="B6" s="7">
        <v>75</v>
      </c>
      <c r="D6" s="7" t="s">
        <v>47</v>
      </c>
      <c r="E6" s="7" t="s">
        <v>0</v>
      </c>
      <c r="F6" s="7" t="s">
        <v>71</v>
      </c>
      <c r="G6" s="25"/>
      <c r="CA6" s="10"/>
      <c r="CB6" s="10"/>
    </row>
    <row r="7" spans="2:80" ht="12.75" hidden="1">
      <c r="B7" s="7">
        <v>65</v>
      </c>
      <c r="D7" s="7" t="s">
        <v>47</v>
      </c>
      <c r="E7" s="7">
        <f>(B6+B7)/2-B8</f>
        <v>50</v>
      </c>
      <c r="F7" s="8">
        <f>(B6-B7)/LN((B6-B8)/(B7-B8))</f>
        <v>49.83288654563971</v>
      </c>
      <c r="G7" s="25"/>
      <c r="CA7" s="10"/>
      <c r="CB7" s="10"/>
    </row>
    <row r="8" spans="2:87" ht="12.75" hidden="1">
      <c r="B8" s="7">
        <v>20</v>
      </c>
      <c r="D8" s="7" t="s">
        <v>47</v>
      </c>
      <c r="E8" s="7"/>
      <c r="F8" s="7"/>
      <c r="G8" s="25"/>
      <c r="H8" s="8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</row>
    <row r="9" spans="2:87" ht="23.25">
      <c r="B9" s="303"/>
      <c r="C9" s="9"/>
      <c r="E9" s="7"/>
      <c r="F9" s="7"/>
      <c r="G9" s="25"/>
      <c r="H9" s="8"/>
      <c r="L9" s="57" t="s">
        <v>119</v>
      </c>
      <c r="M9" s="22"/>
      <c r="N9" s="22"/>
      <c r="O9" s="22"/>
      <c r="P9" s="22"/>
      <c r="Q9" s="22"/>
      <c r="R9" s="22"/>
      <c r="S9" s="22"/>
      <c r="T9" s="23"/>
      <c r="U9" s="23"/>
      <c r="V9" s="23"/>
      <c r="W9" s="23"/>
      <c r="X9" s="23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44"/>
      <c r="AT9" s="41"/>
      <c r="AU9" s="41"/>
      <c r="AV9" s="41"/>
      <c r="AW9" s="41"/>
      <c r="AX9" s="41"/>
      <c r="AY9" s="41"/>
      <c r="AZ9" s="4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10"/>
      <c r="CD9" s="10"/>
      <c r="CE9" s="10"/>
      <c r="CF9" s="10"/>
      <c r="CG9" s="10"/>
      <c r="CH9" s="10"/>
      <c r="CI9" s="10"/>
    </row>
    <row r="10" spans="1:87" ht="18.75">
      <c r="A10" s="284" t="str">
        <f>D10</f>
        <v>Temperatuur sissevoolul[°C]</v>
      </c>
      <c r="B10" s="244">
        <v>75</v>
      </c>
      <c r="C10" s="246"/>
      <c r="D10" s="172" t="s">
        <v>117</v>
      </c>
      <c r="E10" s="7"/>
      <c r="F10" s="25" t="s">
        <v>0</v>
      </c>
      <c r="G10" s="7" t="s">
        <v>71</v>
      </c>
      <c r="H10" s="8" t="s">
        <v>70</v>
      </c>
      <c r="I10" s="8" t="s">
        <v>73</v>
      </c>
      <c r="L10" s="21"/>
      <c r="M10" s="22"/>
      <c r="N10" s="22"/>
      <c r="O10" s="22"/>
      <c r="P10" s="22"/>
      <c r="Q10" s="22"/>
      <c r="R10" s="22"/>
      <c r="S10" s="22"/>
      <c r="T10" s="23"/>
      <c r="U10" s="23"/>
      <c r="V10" s="23"/>
      <c r="W10" s="23"/>
      <c r="X10" s="23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44"/>
      <c r="AT10" s="41"/>
      <c r="AU10" s="41"/>
      <c r="AV10" s="41"/>
      <c r="AW10" s="41"/>
      <c r="AX10" s="41"/>
      <c r="AY10" s="41"/>
      <c r="AZ10" s="4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10"/>
      <c r="CD10" s="10"/>
      <c r="CE10" s="10"/>
      <c r="CF10" s="10"/>
      <c r="CG10" s="10"/>
      <c r="CH10" s="10"/>
      <c r="CI10" s="10"/>
    </row>
    <row r="11" spans="1:87" ht="17.25" customHeight="1">
      <c r="A11" s="284" t="str">
        <f>D11</f>
        <v>Temperatuur väljavoolul [°C]</v>
      </c>
      <c r="B11" s="244">
        <v>65</v>
      </c>
      <c r="C11" s="246"/>
      <c r="D11" s="172" t="s">
        <v>98</v>
      </c>
      <c r="E11" s="7"/>
      <c r="F11" s="25">
        <f>(B10+B11)/2-B12</f>
        <v>50</v>
      </c>
      <c r="G11" s="8">
        <f>(B10-B11)/LN((B10-B12)/(B11-B12))</f>
        <v>49.83288654563971</v>
      </c>
      <c r="H11" s="8">
        <f>(B11-B12)/(B10-B12)</f>
        <v>0.8181818181818182</v>
      </c>
      <c r="I11" s="29">
        <f>IF(H11&lt;0.7,G11/F7,F11/E7)</f>
        <v>1</v>
      </c>
      <c r="L11" s="23"/>
      <c r="M11" s="22"/>
      <c r="N11" s="22"/>
      <c r="O11" s="22"/>
      <c r="P11" s="22"/>
      <c r="Q11" s="22"/>
      <c r="R11" s="22"/>
      <c r="S11" s="22"/>
      <c r="T11" s="23"/>
      <c r="U11" s="23"/>
      <c r="V11" s="23"/>
      <c r="W11" s="23"/>
      <c r="X11" s="23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41"/>
      <c r="AU11" s="41"/>
      <c r="AV11" s="41"/>
      <c r="AW11" s="41"/>
      <c r="AX11" s="41"/>
      <c r="AY11" s="41"/>
      <c r="AZ11" s="4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10"/>
      <c r="CD11" s="10"/>
      <c r="CE11" s="10"/>
      <c r="CF11" s="10"/>
      <c r="CG11" s="10"/>
      <c r="CH11" s="10"/>
      <c r="CI11" s="10"/>
    </row>
    <row r="12" spans="1:80" s="10" customFormat="1" ht="17.25" customHeight="1" thickBot="1">
      <c r="A12" s="284" t="str">
        <f>D12</f>
        <v>Ruumi temperatuur [°C]</v>
      </c>
      <c r="B12" s="244">
        <v>20</v>
      </c>
      <c r="C12" s="247"/>
      <c r="D12" s="260" t="s">
        <v>99</v>
      </c>
      <c r="F12" s="26"/>
      <c r="H12" s="12"/>
      <c r="L12" s="23"/>
      <c r="M12" s="22"/>
      <c r="N12" s="22"/>
      <c r="O12" s="22"/>
      <c r="P12" s="22"/>
      <c r="Q12" s="22"/>
      <c r="R12" s="22"/>
      <c r="S12" s="22"/>
      <c r="T12" s="23"/>
      <c r="U12" s="23"/>
      <c r="V12" s="23"/>
      <c r="W12" s="23"/>
      <c r="X12" s="23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41"/>
      <c r="AU12" s="41"/>
      <c r="AV12" s="41"/>
      <c r="AW12" s="41"/>
      <c r="AX12" s="41"/>
      <c r="AY12" s="41"/>
      <c r="AZ12" s="4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</row>
    <row r="13" spans="2:132" s="10" customFormat="1" ht="13.5" customHeight="1">
      <c r="B13" s="11"/>
      <c r="C13" s="37"/>
      <c r="D13" s="10" t="s">
        <v>16</v>
      </c>
      <c r="G13" s="26"/>
      <c r="H13" s="12"/>
      <c r="L13" s="423" t="s">
        <v>110</v>
      </c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5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</row>
    <row r="14" spans="2:80" s="10" customFormat="1" ht="15" customHeight="1">
      <c r="B14" s="304"/>
      <c r="C14" s="37"/>
      <c r="D14" s="37"/>
      <c r="E14" s="37"/>
      <c r="F14" s="37"/>
      <c r="G14" s="38"/>
      <c r="H14" s="39"/>
      <c r="I14" s="37"/>
      <c r="L14" s="313" t="s">
        <v>116</v>
      </c>
      <c r="M14" s="300"/>
      <c r="N14" s="300"/>
      <c r="O14" s="300"/>
      <c r="P14" s="300"/>
      <c r="Q14" s="300"/>
      <c r="R14" s="300"/>
      <c r="S14" s="300"/>
      <c r="T14" s="301"/>
      <c r="U14" s="301"/>
      <c r="V14" s="301"/>
      <c r="W14" s="301"/>
      <c r="X14" s="314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45"/>
      <c r="AT14" s="41"/>
      <c r="AU14" s="41"/>
      <c r="AV14" s="41"/>
      <c r="AW14" s="41"/>
      <c r="AX14" s="41"/>
      <c r="AY14" s="41"/>
      <c r="AZ14" s="4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</row>
    <row r="15" spans="1:80" s="10" customFormat="1" ht="15" customHeight="1" thickBot="1">
      <c r="A15" s="196" t="s">
        <v>0</v>
      </c>
      <c r="B15" s="306">
        <f>F11</f>
        <v>50</v>
      </c>
      <c r="G15" s="26"/>
      <c r="H15" s="12"/>
      <c r="L15" s="318" t="str">
        <f>D10&amp;" "&amp;B10&amp;" "&amp;D13&amp;"               "&amp;D11&amp;" "&amp;B11&amp;" "&amp;D13&amp;"               "&amp;D12&amp;" "&amp;B12&amp;" "&amp;D13</f>
        <v>Temperatuur sissevoolul[°C] 75                 Temperatuur väljavoolul [°C] 65                 Ruumi temperatuur [°C] 20  </v>
      </c>
      <c r="M15" s="316"/>
      <c r="N15" s="316"/>
      <c r="O15" s="316"/>
      <c r="P15" s="316"/>
      <c r="Q15" s="321"/>
      <c r="R15" s="316"/>
      <c r="S15" s="316"/>
      <c r="T15" s="322"/>
      <c r="U15" s="322"/>
      <c r="V15" s="322"/>
      <c r="W15" s="322"/>
      <c r="X15" s="323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46"/>
      <c r="AT15" s="47"/>
      <c r="AU15" s="47"/>
      <c r="AV15" s="47"/>
      <c r="AW15" s="47"/>
      <c r="AX15" s="46"/>
      <c r="AY15" s="47"/>
      <c r="AZ15" s="47"/>
      <c r="BA15" s="45"/>
      <c r="BB15" s="45"/>
      <c r="BC15" s="45"/>
      <c r="BD15" s="45"/>
      <c r="BE15" s="45"/>
      <c r="BF15" s="45"/>
      <c r="BG15" s="45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</row>
    <row r="16" spans="1:80" s="14" customFormat="1" ht="16.5" customHeight="1">
      <c r="A16" s="196" t="s">
        <v>71</v>
      </c>
      <c r="B16" s="307">
        <f>G11</f>
        <v>49.83288654563971</v>
      </c>
      <c r="C16" s="15" t="s">
        <v>1</v>
      </c>
      <c r="D16" s="15" t="s">
        <v>2</v>
      </c>
      <c r="E16" s="16" t="s">
        <v>4</v>
      </c>
      <c r="F16" s="15" t="s">
        <v>3</v>
      </c>
      <c r="G16" s="27" t="s">
        <v>5</v>
      </c>
      <c r="L16" s="319" t="s">
        <v>101</v>
      </c>
      <c r="M16" s="441">
        <v>1400</v>
      </c>
      <c r="N16" s="442"/>
      <c r="O16" s="441">
        <v>1600</v>
      </c>
      <c r="P16" s="442"/>
      <c r="Q16" s="441">
        <v>1800</v>
      </c>
      <c r="R16" s="442"/>
      <c r="S16" s="441">
        <v>2000</v>
      </c>
      <c r="T16" s="442"/>
      <c r="U16" s="441">
        <v>2200</v>
      </c>
      <c r="V16" s="442"/>
      <c r="W16" s="441">
        <v>2400</v>
      </c>
      <c r="X16" s="442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0"/>
      <c r="AQ16" s="440"/>
      <c r="AR16" s="440"/>
      <c r="AS16" s="48"/>
      <c r="AT16" s="49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50"/>
      <c r="BI16" s="32"/>
      <c r="BJ16" s="32"/>
      <c r="BK16" s="32"/>
      <c r="BL16" s="32"/>
      <c r="BM16" s="32"/>
      <c r="BN16" s="50"/>
      <c r="BO16" s="50"/>
      <c r="BP16" s="50"/>
      <c r="BQ16" s="50"/>
      <c r="BR16" s="50"/>
      <c r="BS16" s="50"/>
      <c r="BT16" s="50"/>
      <c r="BU16" s="50"/>
      <c r="BV16" s="32"/>
      <c r="BW16" s="32"/>
      <c r="BX16" s="32"/>
      <c r="BY16" s="32"/>
      <c r="BZ16" s="32"/>
      <c r="CA16" s="32"/>
      <c r="CB16" s="32"/>
    </row>
    <row r="17" spans="1:80" s="14" customFormat="1" ht="14.25" customHeight="1">
      <c r="A17" s="196" t="s">
        <v>70</v>
      </c>
      <c r="B17" s="307">
        <f>H11</f>
        <v>0.8181818181818182</v>
      </c>
      <c r="C17" s="15"/>
      <c r="D17" s="20"/>
      <c r="E17" s="16"/>
      <c r="F17" s="15" t="s">
        <v>6</v>
      </c>
      <c r="G17" s="27"/>
      <c r="L17" s="209" t="s">
        <v>100</v>
      </c>
      <c r="M17" s="446">
        <v>10</v>
      </c>
      <c r="N17" s="445">
        <v>20</v>
      </c>
      <c r="O17" s="446">
        <v>10</v>
      </c>
      <c r="P17" s="445">
        <v>20</v>
      </c>
      <c r="Q17" s="446">
        <v>10</v>
      </c>
      <c r="R17" s="445">
        <v>20</v>
      </c>
      <c r="S17" s="446">
        <v>10</v>
      </c>
      <c r="T17" s="445">
        <v>20</v>
      </c>
      <c r="U17" s="446">
        <v>10</v>
      </c>
      <c r="V17" s="445">
        <v>20</v>
      </c>
      <c r="W17" s="446">
        <v>10</v>
      </c>
      <c r="X17" s="445">
        <v>20</v>
      </c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51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</row>
    <row r="18" spans="1:80" s="10" customFormat="1" ht="16.5" customHeight="1">
      <c r="A18" s="196" t="s">
        <v>111</v>
      </c>
      <c r="B18" s="308">
        <f>I11</f>
        <v>1</v>
      </c>
      <c r="C18" s="11" t="s">
        <v>58</v>
      </c>
      <c r="D18" s="40">
        <v>1.2335</v>
      </c>
      <c r="E18" s="18">
        <v>1088</v>
      </c>
      <c r="F18" s="11">
        <f>POWER(I11,D18)</f>
        <v>1</v>
      </c>
      <c r="G18" s="28">
        <f aca="true" t="shared" si="0" ref="G18:G30">E18*F18</f>
        <v>1088</v>
      </c>
      <c r="L18" s="203" t="s">
        <v>102</v>
      </c>
      <c r="M18" s="448"/>
      <c r="N18" s="447"/>
      <c r="O18" s="448"/>
      <c r="P18" s="447"/>
      <c r="Q18" s="448"/>
      <c r="R18" s="447"/>
      <c r="S18" s="434"/>
      <c r="T18" s="433"/>
      <c r="U18" s="434"/>
      <c r="V18" s="447"/>
      <c r="W18" s="434"/>
      <c r="X18" s="433"/>
      <c r="Y18" s="444"/>
      <c r="Z18" s="444"/>
      <c r="AA18" s="443"/>
      <c r="AB18" s="444"/>
      <c r="AC18" s="444"/>
      <c r="AD18" s="444"/>
      <c r="AE18" s="444"/>
      <c r="AF18" s="444"/>
      <c r="AG18" s="444"/>
      <c r="AH18" s="443"/>
      <c r="AI18" s="444"/>
      <c r="AJ18" s="444"/>
      <c r="AK18" s="444"/>
      <c r="AL18" s="444"/>
      <c r="AM18" s="444"/>
      <c r="AN18" s="444"/>
      <c r="AO18" s="443"/>
      <c r="AP18" s="444"/>
      <c r="AQ18" s="444"/>
      <c r="AR18" s="444"/>
      <c r="AS18" s="51"/>
      <c r="AT18" s="53"/>
      <c r="AU18" s="52"/>
      <c r="AV18" s="52"/>
      <c r="AW18" s="52"/>
      <c r="AX18" s="52"/>
      <c r="AY18" s="52"/>
      <c r="AZ18" s="53"/>
      <c r="BA18" s="53"/>
      <c r="BB18" s="53"/>
      <c r="BC18" s="52"/>
      <c r="BD18" s="53"/>
      <c r="BE18" s="53"/>
      <c r="BF18" s="53"/>
      <c r="BG18" s="53"/>
      <c r="BH18" s="53"/>
      <c r="BI18" s="53"/>
      <c r="BJ18" s="52"/>
      <c r="BK18" s="53"/>
      <c r="BL18" s="53"/>
      <c r="BM18" s="53"/>
      <c r="BN18" s="53"/>
      <c r="BO18" s="53"/>
      <c r="BP18" s="53"/>
      <c r="BQ18" s="52"/>
      <c r="BR18" s="53"/>
      <c r="BS18" s="53"/>
      <c r="BT18" s="53"/>
      <c r="BU18" s="53"/>
      <c r="BV18" s="53"/>
      <c r="BW18" s="53"/>
      <c r="BX18" s="52"/>
      <c r="BY18" s="53"/>
      <c r="BZ18" s="53"/>
      <c r="CA18" s="53"/>
      <c r="CB18" s="53"/>
    </row>
    <row r="19" spans="2:87" ht="16.5" customHeight="1">
      <c r="B19" s="11"/>
      <c r="C19" s="11" t="s">
        <v>59</v>
      </c>
      <c r="D19" s="40">
        <v>1.2528</v>
      </c>
      <c r="E19" s="18">
        <v>1239</v>
      </c>
      <c r="F19" s="11">
        <f>POWER(I11,D19)</f>
        <v>1</v>
      </c>
      <c r="G19" s="28">
        <f t="shared" si="0"/>
        <v>1239</v>
      </c>
      <c r="K19" s="10"/>
      <c r="L19" s="226">
        <v>300</v>
      </c>
      <c r="M19" s="224">
        <f aca="true" t="shared" si="1" ref="M19:M24">ROUND(T10V_1400*L19/1000,0)</f>
        <v>326</v>
      </c>
      <c r="N19" s="223">
        <f aca="true" t="shared" si="2" ref="N19:N24">ROUND(T20V_1400*L19/1000,0)</f>
        <v>569</v>
      </c>
      <c r="O19" s="224">
        <f aca="true" t="shared" si="3" ref="O19:O24">ROUND(T10V_1600*L19/1000,0)</f>
        <v>372</v>
      </c>
      <c r="P19" s="223">
        <f aca="true" t="shared" si="4" ref="P19:P24">ROUND(T20V_1600*L19/1000,0)</f>
        <v>638</v>
      </c>
      <c r="Q19" s="224">
        <f aca="true" t="shared" si="5" ref="Q19:Q24">ROUND(T10V_1800*L19/1000,0)</f>
        <v>417</v>
      </c>
      <c r="R19" s="223">
        <f aca="true" t="shared" si="6" ref="R19:R24">ROUND(T20V_1800*L19/1000,0)</f>
        <v>704</v>
      </c>
      <c r="S19" s="224">
        <f aca="true" t="shared" si="7" ref="S19:S24">ROUND(T10V_2000*L19/1000,0)</f>
        <v>463</v>
      </c>
      <c r="T19" s="223">
        <f aca="true" t="shared" si="8" ref="T19:T24">ROUND(T20V_2000*L19/1000,0)</f>
        <v>769</v>
      </c>
      <c r="U19" s="224">
        <f aca="true" t="shared" si="9" ref="U19:U24">ROUND(T10V_2200*L19/1000,0)</f>
        <v>509</v>
      </c>
      <c r="V19" s="223">
        <f aca="true" t="shared" si="10" ref="V19:V24">ROUND(T20V_2200*L19/1000,0)</f>
        <v>833</v>
      </c>
      <c r="W19" s="224">
        <f aca="true" t="shared" si="11" ref="W19:W24">ROUND(T10V_2400*L19/1000,0)</f>
        <v>556</v>
      </c>
      <c r="X19" s="223">
        <f aca="true" t="shared" si="12" ref="X19:X24">ROUND(T20V_2400*L19/1000,0)</f>
        <v>895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10"/>
      <c r="CD19" s="10"/>
      <c r="CE19" s="10"/>
      <c r="CF19" s="10"/>
      <c r="CG19" s="10"/>
      <c r="CH19" s="10"/>
      <c r="CI19" s="10"/>
    </row>
    <row r="20" spans="1:87" ht="16.5" customHeight="1">
      <c r="A20" s="309"/>
      <c r="B20" s="15"/>
      <c r="C20" s="11" t="s">
        <v>60</v>
      </c>
      <c r="D20" s="40">
        <v>1.2722</v>
      </c>
      <c r="E20" s="18">
        <v>1391</v>
      </c>
      <c r="F20" s="11">
        <f>POWER(I11,D20)</f>
        <v>1</v>
      </c>
      <c r="G20" s="28">
        <f t="shared" si="0"/>
        <v>1391</v>
      </c>
      <c r="K20" s="10"/>
      <c r="L20" s="218">
        <v>400</v>
      </c>
      <c r="M20" s="219">
        <f t="shared" si="1"/>
        <v>435</v>
      </c>
      <c r="N20" s="222">
        <f t="shared" si="2"/>
        <v>759</v>
      </c>
      <c r="O20" s="219">
        <f t="shared" si="3"/>
        <v>496</v>
      </c>
      <c r="P20" s="222">
        <f t="shared" si="4"/>
        <v>850</v>
      </c>
      <c r="Q20" s="219">
        <f t="shared" si="5"/>
        <v>556</v>
      </c>
      <c r="R20" s="222">
        <f t="shared" si="6"/>
        <v>939</v>
      </c>
      <c r="S20" s="219">
        <f t="shared" si="7"/>
        <v>618</v>
      </c>
      <c r="T20" s="222">
        <f t="shared" si="8"/>
        <v>1025</v>
      </c>
      <c r="U20" s="219">
        <f t="shared" si="9"/>
        <v>679</v>
      </c>
      <c r="V20" s="222">
        <f t="shared" si="10"/>
        <v>1110</v>
      </c>
      <c r="W20" s="219">
        <f t="shared" si="11"/>
        <v>742</v>
      </c>
      <c r="X20" s="222">
        <f t="shared" si="12"/>
        <v>1193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10"/>
      <c r="CD20" s="10"/>
      <c r="CE20" s="10"/>
      <c r="CF20" s="10"/>
      <c r="CG20" s="10"/>
      <c r="CH20" s="10"/>
      <c r="CI20" s="10"/>
    </row>
    <row r="21" spans="1:87" ht="16.5" customHeight="1">
      <c r="A21" s="396" t="s">
        <v>100</v>
      </c>
      <c r="B21" s="270" t="s">
        <v>2</v>
      </c>
      <c r="C21" s="11" t="s">
        <v>61</v>
      </c>
      <c r="D21" s="40">
        <v>1.2915</v>
      </c>
      <c r="E21" s="18">
        <v>1544</v>
      </c>
      <c r="F21" s="11">
        <f>POWER(I11,D21)</f>
        <v>1</v>
      </c>
      <c r="G21" s="28">
        <f t="shared" si="0"/>
        <v>1544</v>
      </c>
      <c r="L21" s="226">
        <v>500</v>
      </c>
      <c r="M21" s="224">
        <f t="shared" si="1"/>
        <v>544</v>
      </c>
      <c r="N21" s="223">
        <f t="shared" si="2"/>
        <v>949</v>
      </c>
      <c r="O21" s="224">
        <f t="shared" si="3"/>
        <v>620</v>
      </c>
      <c r="P21" s="223">
        <f t="shared" si="4"/>
        <v>1063</v>
      </c>
      <c r="Q21" s="224">
        <f t="shared" si="5"/>
        <v>696</v>
      </c>
      <c r="R21" s="223">
        <f t="shared" si="6"/>
        <v>1174</v>
      </c>
      <c r="S21" s="224">
        <f t="shared" si="7"/>
        <v>772</v>
      </c>
      <c r="T21" s="223">
        <f t="shared" si="8"/>
        <v>1282</v>
      </c>
      <c r="U21" s="224">
        <f t="shared" si="9"/>
        <v>849</v>
      </c>
      <c r="V21" s="223">
        <f t="shared" si="10"/>
        <v>1388</v>
      </c>
      <c r="W21" s="224">
        <f t="shared" si="11"/>
        <v>927</v>
      </c>
      <c r="X21" s="223">
        <f t="shared" si="12"/>
        <v>1491</v>
      </c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10"/>
      <c r="CD21" s="10"/>
      <c r="CE21" s="10"/>
      <c r="CF21" s="10"/>
      <c r="CG21" s="10"/>
      <c r="CH21" s="10"/>
      <c r="CI21" s="10"/>
    </row>
    <row r="22" spans="1:87" ht="16.5" customHeight="1">
      <c r="A22" s="310" t="s">
        <v>58</v>
      </c>
      <c r="B22" s="40">
        <v>1.2335</v>
      </c>
      <c r="C22" s="7" t="s">
        <v>62</v>
      </c>
      <c r="D22" s="35">
        <v>1.2978</v>
      </c>
      <c r="E22" s="19">
        <v>1698</v>
      </c>
      <c r="F22" s="7">
        <f>POWER(I11,D22)</f>
        <v>1</v>
      </c>
      <c r="G22" s="28">
        <f t="shared" si="0"/>
        <v>1698</v>
      </c>
      <c r="L22" s="218">
        <v>600</v>
      </c>
      <c r="M22" s="219">
        <f t="shared" si="1"/>
        <v>653</v>
      </c>
      <c r="N22" s="222">
        <f t="shared" si="2"/>
        <v>1138</v>
      </c>
      <c r="O22" s="219">
        <f t="shared" si="3"/>
        <v>743</v>
      </c>
      <c r="P22" s="222">
        <f t="shared" si="4"/>
        <v>1275</v>
      </c>
      <c r="Q22" s="219">
        <f t="shared" si="5"/>
        <v>835</v>
      </c>
      <c r="R22" s="222">
        <f t="shared" si="6"/>
        <v>1408</v>
      </c>
      <c r="S22" s="219">
        <f t="shared" si="7"/>
        <v>926</v>
      </c>
      <c r="T22" s="222">
        <f t="shared" si="8"/>
        <v>1538</v>
      </c>
      <c r="U22" s="219">
        <f t="shared" si="9"/>
        <v>1019</v>
      </c>
      <c r="V22" s="222">
        <f t="shared" si="10"/>
        <v>1665</v>
      </c>
      <c r="W22" s="219">
        <f t="shared" si="11"/>
        <v>1112</v>
      </c>
      <c r="X22" s="222">
        <f t="shared" si="12"/>
        <v>1789</v>
      </c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10"/>
      <c r="CD22" s="10"/>
      <c r="CE22" s="10"/>
      <c r="CF22" s="10"/>
      <c r="CG22" s="10"/>
      <c r="CH22" s="10"/>
      <c r="CI22" s="10"/>
    </row>
    <row r="23" spans="1:87" ht="16.5" customHeight="1">
      <c r="A23" s="310" t="s">
        <v>59</v>
      </c>
      <c r="B23" s="40">
        <v>1.2528</v>
      </c>
      <c r="C23" s="7" t="s">
        <v>63</v>
      </c>
      <c r="D23" s="35">
        <v>1.3041</v>
      </c>
      <c r="E23" s="19">
        <v>1854</v>
      </c>
      <c r="F23" s="7">
        <f>POWER(I11,D23)</f>
        <v>1</v>
      </c>
      <c r="G23" s="28">
        <f t="shared" si="0"/>
        <v>1854</v>
      </c>
      <c r="L23" s="226">
        <v>750</v>
      </c>
      <c r="M23" s="224">
        <f t="shared" si="1"/>
        <v>816</v>
      </c>
      <c r="N23" s="223">
        <f t="shared" si="2"/>
        <v>1423</v>
      </c>
      <c r="O23" s="224">
        <f t="shared" si="3"/>
        <v>929</v>
      </c>
      <c r="P23" s="223">
        <f t="shared" si="4"/>
        <v>1594</v>
      </c>
      <c r="Q23" s="224">
        <f t="shared" si="5"/>
        <v>1043</v>
      </c>
      <c r="R23" s="223">
        <f t="shared" si="6"/>
        <v>1760</v>
      </c>
      <c r="S23" s="224">
        <f t="shared" si="7"/>
        <v>1158</v>
      </c>
      <c r="T23" s="223">
        <f t="shared" si="8"/>
        <v>1922</v>
      </c>
      <c r="U23" s="224">
        <f t="shared" si="9"/>
        <v>1274</v>
      </c>
      <c r="V23" s="223">
        <f t="shared" si="10"/>
        <v>2081</v>
      </c>
      <c r="W23" s="224">
        <f t="shared" si="11"/>
        <v>1391</v>
      </c>
      <c r="X23" s="223">
        <f t="shared" si="12"/>
        <v>2237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10"/>
      <c r="CD23" s="10"/>
      <c r="CE23" s="10"/>
      <c r="CF23" s="10"/>
      <c r="CG23" s="10"/>
      <c r="CH23" s="10"/>
      <c r="CI23" s="10"/>
    </row>
    <row r="24" spans="1:87" ht="16.5" customHeight="1" thickBot="1">
      <c r="A24" s="310" t="s">
        <v>60</v>
      </c>
      <c r="B24" s="40">
        <v>1.2722</v>
      </c>
      <c r="C24" s="59"/>
      <c r="D24" s="34"/>
      <c r="E24" s="58"/>
      <c r="F24" s="59"/>
      <c r="G24" s="60"/>
      <c r="L24" s="320">
        <v>900</v>
      </c>
      <c r="M24" s="317">
        <f t="shared" si="1"/>
        <v>979</v>
      </c>
      <c r="N24" s="315">
        <f t="shared" si="2"/>
        <v>1707</v>
      </c>
      <c r="O24" s="317">
        <f t="shared" si="3"/>
        <v>1115</v>
      </c>
      <c r="P24" s="315">
        <f t="shared" si="4"/>
        <v>1913</v>
      </c>
      <c r="Q24" s="317">
        <f t="shared" si="5"/>
        <v>1252</v>
      </c>
      <c r="R24" s="315">
        <f t="shared" si="6"/>
        <v>2112</v>
      </c>
      <c r="S24" s="317">
        <f t="shared" si="7"/>
        <v>1390</v>
      </c>
      <c r="T24" s="315">
        <f t="shared" si="8"/>
        <v>2307</v>
      </c>
      <c r="U24" s="317">
        <f t="shared" si="9"/>
        <v>1528</v>
      </c>
      <c r="V24" s="315">
        <f t="shared" si="10"/>
        <v>2498</v>
      </c>
      <c r="W24" s="317">
        <f t="shared" si="11"/>
        <v>1669</v>
      </c>
      <c r="X24" s="315">
        <f t="shared" si="12"/>
        <v>2684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10"/>
      <c r="CD24" s="10"/>
      <c r="CE24" s="10"/>
      <c r="CF24" s="10"/>
      <c r="CG24" s="10"/>
      <c r="CH24" s="10"/>
      <c r="CI24" s="10"/>
    </row>
    <row r="25" spans="1:90" ht="16.5" customHeight="1">
      <c r="A25" s="310" t="s">
        <v>61</v>
      </c>
      <c r="B25" s="40">
        <v>1.2915</v>
      </c>
      <c r="C25" s="7" t="s">
        <v>64</v>
      </c>
      <c r="D25" s="35">
        <v>1.2746</v>
      </c>
      <c r="E25" s="19">
        <v>1897</v>
      </c>
      <c r="F25" s="7">
        <f>POWER(I11,D25)</f>
        <v>1</v>
      </c>
      <c r="G25" s="28">
        <f t="shared" si="0"/>
        <v>1897</v>
      </c>
      <c r="L25" s="56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3"/>
      <c r="CD25" s="36"/>
      <c r="CE25" s="36"/>
      <c r="CF25" s="36"/>
      <c r="CG25" s="36"/>
      <c r="CH25" s="36"/>
      <c r="CI25" s="36"/>
      <c r="CJ25" s="36"/>
      <c r="CK25" s="36"/>
      <c r="CL25" s="36"/>
    </row>
    <row r="26" spans="1:81" ht="16.5" customHeight="1">
      <c r="A26" s="311" t="s">
        <v>62</v>
      </c>
      <c r="B26" s="35">
        <v>1.2978</v>
      </c>
      <c r="C26" s="7" t="s">
        <v>65</v>
      </c>
      <c r="D26" s="35">
        <v>1.2844</v>
      </c>
      <c r="E26" s="19">
        <v>2125</v>
      </c>
      <c r="F26" s="7">
        <f>POWER(I11,D26)</f>
        <v>1</v>
      </c>
      <c r="G26" s="28">
        <f t="shared" si="0"/>
        <v>2125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19"/>
    </row>
    <row r="27" spans="1:81" ht="16.5" customHeight="1">
      <c r="A27" s="311" t="s">
        <v>63</v>
      </c>
      <c r="B27" s="35">
        <v>1.3041</v>
      </c>
      <c r="C27" s="7" t="s">
        <v>66</v>
      </c>
      <c r="D27" s="35">
        <v>1.2943</v>
      </c>
      <c r="E27" s="19">
        <v>2347</v>
      </c>
      <c r="F27" s="7">
        <f>POWER(I11,D27)</f>
        <v>1</v>
      </c>
      <c r="G27" s="28">
        <f t="shared" si="0"/>
        <v>2347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19"/>
    </row>
    <row r="28" spans="1:81" ht="16.5" customHeight="1" hidden="1">
      <c r="A28" s="312"/>
      <c r="B28" s="35"/>
      <c r="C28" s="178" t="s">
        <v>67</v>
      </c>
      <c r="D28" s="35">
        <v>1.3041</v>
      </c>
      <c r="E28" s="19">
        <v>2563</v>
      </c>
      <c r="F28" s="7">
        <f>POWER(I11,D28)</f>
        <v>1</v>
      </c>
      <c r="G28" s="28">
        <f t="shared" si="0"/>
        <v>2563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19"/>
    </row>
    <row r="29" spans="1:81" ht="16.5" customHeight="1">
      <c r="A29" s="311" t="s">
        <v>64</v>
      </c>
      <c r="B29" s="35">
        <v>1.2746</v>
      </c>
      <c r="C29" s="7" t="s">
        <v>68</v>
      </c>
      <c r="D29" s="35">
        <v>1.3046</v>
      </c>
      <c r="E29" s="19">
        <v>2775</v>
      </c>
      <c r="F29" s="7">
        <f>POWER(I11,D29)</f>
        <v>1</v>
      </c>
      <c r="G29" s="28">
        <f t="shared" si="0"/>
        <v>2775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19"/>
    </row>
    <row r="30" spans="1:81" ht="16.5" customHeight="1">
      <c r="A30" s="311" t="s">
        <v>65</v>
      </c>
      <c r="B30" s="35">
        <v>1.2844</v>
      </c>
      <c r="C30" s="7" t="s">
        <v>69</v>
      </c>
      <c r="D30" s="35">
        <v>1.305</v>
      </c>
      <c r="E30" s="19">
        <v>2982</v>
      </c>
      <c r="F30" s="7">
        <f>POWER(I11,D30)</f>
        <v>1</v>
      </c>
      <c r="G30" s="28">
        <f t="shared" si="0"/>
        <v>2982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19"/>
    </row>
    <row r="31" spans="1:81" ht="16.5" customHeight="1">
      <c r="A31" s="311" t="s">
        <v>66</v>
      </c>
      <c r="B31" s="35">
        <v>1.2943</v>
      </c>
      <c r="C31" s="59"/>
      <c r="D31" s="34"/>
      <c r="E31" s="58"/>
      <c r="F31" s="59"/>
      <c r="G31" s="60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19"/>
    </row>
    <row r="32" spans="1:80" ht="16.5" customHeight="1">
      <c r="A32" s="311" t="s">
        <v>67</v>
      </c>
      <c r="B32" s="35">
        <v>1.3041</v>
      </c>
      <c r="D32" s="35"/>
      <c r="E32" s="19"/>
      <c r="F32" s="7"/>
      <c r="G32" s="28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</row>
    <row r="33" spans="1:80" ht="16.5" customHeight="1">
      <c r="A33" s="311" t="s">
        <v>68</v>
      </c>
      <c r="B33" s="35">
        <v>1.3046</v>
      </c>
      <c r="D33" s="35"/>
      <c r="E33" s="19"/>
      <c r="F33" s="7"/>
      <c r="G33" s="28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</row>
    <row r="34" spans="1:80" ht="16.5" customHeight="1">
      <c r="A34" s="311" t="s">
        <v>69</v>
      </c>
      <c r="B34" s="35">
        <v>1.305</v>
      </c>
      <c r="C34" s="62"/>
      <c r="D34" s="61"/>
      <c r="E34" s="19"/>
      <c r="F34" s="7"/>
      <c r="G34" s="28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</row>
    <row r="35" spans="2:80" ht="12.75">
      <c r="B35" s="305"/>
      <c r="C35" s="63"/>
      <c r="D35" s="61"/>
      <c r="E35" s="19"/>
      <c r="F35" s="7"/>
      <c r="G35" s="28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</row>
    <row r="36" spans="4:80" ht="12.75">
      <c r="D36" s="35"/>
      <c r="E36" s="19"/>
      <c r="F36" s="7"/>
      <c r="G36" s="28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</row>
    <row r="37" spans="4:80" ht="12.75">
      <c r="D37" s="35"/>
      <c r="E37" s="19"/>
      <c r="F37" s="7"/>
      <c r="G37" s="28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</row>
    <row r="38" spans="4:7" ht="12.75">
      <c r="D38" s="35"/>
      <c r="E38" s="19"/>
      <c r="F38" s="7"/>
      <c r="G38" s="28"/>
    </row>
    <row r="39" spans="4:7" ht="12.75">
      <c r="D39" s="35"/>
      <c r="E39" s="19"/>
      <c r="F39" s="7"/>
      <c r="G39" s="28"/>
    </row>
    <row r="40" spans="4:7" ht="12.75">
      <c r="D40" s="35"/>
      <c r="E40" s="19"/>
      <c r="F40" s="7"/>
      <c r="G40" s="28"/>
    </row>
    <row r="41" spans="4:7" ht="12.75">
      <c r="D41" s="35"/>
      <c r="E41" s="19"/>
      <c r="F41" s="7"/>
      <c r="G41" s="28"/>
    </row>
    <row r="42" spans="4:7" ht="12.75">
      <c r="D42" s="35"/>
      <c r="E42" s="19"/>
      <c r="F42" s="7"/>
      <c r="G42" s="28"/>
    </row>
    <row r="43" spans="4:7" ht="12.75">
      <c r="D43" s="35"/>
      <c r="E43" s="19"/>
      <c r="F43" s="7"/>
      <c r="G43" s="28"/>
    </row>
    <row r="44" spans="4:7" ht="12.75">
      <c r="D44" s="35"/>
      <c r="E44" s="19"/>
      <c r="F44" s="7"/>
      <c r="G44" s="28"/>
    </row>
    <row r="45" spans="4:7" ht="12.75">
      <c r="D45" s="35"/>
      <c r="E45" s="19"/>
      <c r="F45" s="7"/>
      <c r="G45" s="28"/>
    </row>
    <row r="46" spans="4:7" ht="12.75">
      <c r="D46" s="35"/>
      <c r="E46" s="19"/>
      <c r="F46" s="7"/>
      <c r="G46" s="28"/>
    </row>
    <row r="47" spans="4:7" ht="12.75">
      <c r="D47" s="35"/>
      <c r="E47" s="19"/>
      <c r="F47" s="7"/>
      <c r="G47" s="28"/>
    </row>
    <row r="48" spans="4:7" ht="12.75">
      <c r="D48" s="35"/>
      <c r="E48" s="19"/>
      <c r="F48" s="7"/>
      <c r="G48" s="28"/>
    </row>
    <row r="49" spans="4:7" ht="12.75">
      <c r="D49" s="35"/>
      <c r="E49" s="19"/>
      <c r="F49" s="7"/>
      <c r="G49" s="28"/>
    </row>
    <row r="50" spans="4:7" ht="12.75">
      <c r="D50" s="35"/>
      <c r="E50" s="19"/>
      <c r="F50" s="7"/>
      <c r="G50" s="28"/>
    </row>
    <row r="51" spans="4:7" ht="12.75">
      <c r="D51" s="35"/>
      <c r="E51" s="19"/>
      <c r="F51" s="7"/>
      <c r="G51" s="28"/>
    </row>
    <row r="52" spans="4:7" ht="12.75">
      <c r="D52" s="35"/>
      <c r="E52" s="19"/>
      <c r="F52" s="7"/>
      <c r="G52" s="28"/>
    </row>
    <row r="53" spans="4:7" ht="12.75">
      <c r="D53" s="35"/>
      <c r="E53" s="19"/>
      <c r="F53" s="7"/>
      <c r="G53" s="28"/>
    </row>
    <row r="54" spans="4:7" ht="12.75">
      <c r="D54" s="35"/>
      <c r="E54" s="19"/>
      <c r="F54" s="7"/>
      <c r="G54" s="28"/>
    </row>
    <row r="55" spans="4:7" ht="12.75">
      <c r="D55" s="35"/>
      <c r="E55" s="19"/>
      <c r="F55" s="7"/>
      <c r="G55" s="28"/>
    </row>
    <row r="56" spans="4:7" ht="12.75">
      <c r="D56" s="35"/>
      <c r="E56" s="19"/>
      <c r="F56" s="7"/>
      <c r="G56" s="28"/>
    </row>
    <row r="57" spans="4:7" ht="12.75">
      <c r="D57" s="35"/>
      <c r="E57" s="19"/>
      <c r="F57" s="7"/>
      <c r="G57" s="28"/>
    </row>
    <row r="58" spans="4:7" ht="12.75">
      <c r="D58" s="35"/>
      <c r="E58" s="19"/>
      <c r="F58" s="7"/>
      <c r="G58" s="28"/>
    </row>
    <row r="59" spans="4:7" ht="12.75">
      <c r="D59" s="35"/>
      <c r="E59" s="19"/>
      <c r="F59" s="7"/>
      <c r="G59" s="28"/>
    </row>
    <row r="60" spans="4:7" ht="12.75">
      <c r="D60" s="35"/>
      <c r="E60" s="19"/>
      <c r="F60" s="7"/>
      <c r="G60" s="28"/>
    </row>
    <row r="61" spans="4:7" ht="12.75">
      <c r="D61" s="35"/>
      <c r="E61" s="19"/>
      <c r="F61" s="7"/>
      <c r="G61" s="28"/>
    </row>
    <row r="62" spans="4:7" ht="12.75">
      <c r="D62" s="35"/>
      <c r="E62" s="19"/>
      <c r="F62" s="7"/>
      <c r="G62" s="28"/>
    </row>
    <row r="63" spans="4:7" ht="12.75">
      <c r="D63" s="35"/>
      <c r="E63" s="19"/>
      <c r="F63" s="7"/>
      <c r="G63" s="28"/>
    </row>
    <row r="64" spans="4:7" ht="12.75">
      <c r="D64" s="35"/>
      <c r="E64" s="19"/>
      <c r="F64" s="7"/>
      <c r="G64" s="28"/>
    </row>
    <row r="65" spans="4:7" ht="12.75">
      <c r="D65" s="35"/>
      <c r="E65" s="19"/>
      <c r="F65" s="7"/>
      <c r="G65" s="28"/>
    </row>
    <row r="66" spans="4:7" ht="12.75">
      <c r="D66" s="35"/>
      <c r="E66" s="19"/>
      <c r="F66" s="7"/>
      <c r="G66" s="28"/>
    </row>
    <row r="67" spans="4:7" ht="12.75">
      <c r="D67" s="35"/>
      <c r="E67" s="19"/>
      <c r="F67" s="7"/>
      <c r="G67" s="28"/>
    </row>
    <row r="68" spans="4:7" ht="12.75">
      <c r="D68" s="35"/>
      <c r="E68" s="19"/>
      <c r="F68" s="7"/>
      <c r="G68" s="28"/>
    </row>
    <row r="69" spans="4:7" ht="12.75">
      <c r="D69" s="35"/>
      <c r="E69" s="19"/>
      <c r="F69" s="7"/>
      <c r="G69" s="28"/>
    </row>
    <row r="70" spans="4:7" ht="12.75">
      <c r="D70" s="35"/>
      <c r="E70" s="19"/>
      <c r="F70" s="7"/>
      <c r="G70" s="28"/>
    </row>
    <row r="71" spans="4:7" ht="12.75">
      <c r="D71" s="35"/>
      <c r="E71" s="19"/>
      <c r="F71" s="7"/>
      <c r="G71" s="28"/>
    </row>
    <row r="72" spans="4:7" ht="12.75">
      <c r="D72" s="35"/>
      <c r="E72" s="19"/>
      <c r="F72" s="7"/>
      <c r="G72" s="28"/>
    </row>
    <row r="73" spans="4:7" ht="12.75">
      <c r="D73" s="35"/>
      <c r="E73" s="19"/>
      <c r="F73" s="7"/>
      <c r="G73" s="28"/>
    </row>
    <row r="74" spans="4:7" ht="12.75">
      <c r="D74" s="35"/>
      <c r="E74" s="19"/>
      <c r="F74" s="7"/>
      <c r="G74" s="28"/>
    </row>
    <row r="75" ht="12.75">
      <c r="D75" s="36"/>
    </row>
    <row r="76" ht="12.75">
      <c r="D76" s="36"/>
    </row>
    <row r="77" spans="2:4" ht="12.75">
      <c r="B77" s="11"/>
      <c r="C77" s="10"/>
      <c r="D77" s="36"/>
    </row>
    <row r="78" ht="12.75">
      <c r="D78" s="36"/>
    </row>
    <row r="79" ht="12.75">
      <c r="D79" s="36"/>
    </row>
    <row r="80" ht="12.75">
      <c r="D80" s="36"/>
    </row>
    <row r="81" ht="12.75">
      <c r="D81" s="36"/>
    </row>
    <row r="82" ht="12.75">
      <c r="D82" s="36"/>
    </row>
    <row r="83" ht="12.75">
      <c r="D83" s="36"/>
    </row>
    <row r="84" ht="12.75">
      <c r="D84" s="36"/>
    </row>
    <row r="85" ht="12.75">
      <c r="D85" s="36"/>
    </row>
  </sheetData>
  <sheetProtection password="DC1D" sheet="1" objects="1" scenarios="1" selectLockedCells="1"/>
  <mergeCells count="49">
    <mergeCell ref="X17:X18"/>
    <mergeCell ref="Q17:Q18"/>
    <mergeCell ref="R17:R18"/>
    <mergeCell ref="S17:S18"/>
    <mergeCell ref="M17:M18"/>
    <mergeCell ref="N17:N18"/>
    <mergeCell ref="O17:O18"/>
    <mergeCell ref="P17:P18"/>
    <mergeCell ref="Y17:Y18"/>
    <mergeCell ref="Z17:Z18"/>
    <mergeCell ref="AA17:AA18"/>
    <mergeCell ref="AB17:AB18"/>
    <mergeCell ref="AC17:AC18"/>
    <mergeCell ref="L13:X13"/>
    <mergeCell ref="T17:T18"/>
    <mergeCell ref="U17:U18"/>
    <mergeCell ref="V17:V18"/>
    <mergeCell ref="W17:W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P17:AP18"/>
    <mergeCell ref="AQ17:AQ18"/>
    <mergeCell ref="AR17:AR18"/>
    <mergeCell ref="AL17:AL18"/>
    <mergeCell ref="AM17:AM18"/>
    <mergeCell ref="AN17:AN18"/>
    <mergeCell ref="AO17:AO18"/>
    <mergeCell ref="M16:N16"/>
    <mergeCell ref="O16:P16"/>
    <mergeCell ref="Q16:R16"/>
    <mergeCell ref="S16:T16"/>
    <mergeCell ref="U16:V16"/>
    <mergeCell ref="W16:X16"/>
    <mergeCell ref="AQ16:AR16"/>
    <mergeCell ref="AI16:AJ16"/>
    <mergeCell ref="AK16:AL16"/>
    <mergeCell ref="AM16:AN16"/>
    <mergeCell ref="AO16:AP16"/>
    <mergeCell ref="Y16:Z16"/>
    <mergeCell ref="AA16:AB16"/>
    <mergeCell ref="AC16:AD16"/>
    <mergeCell ref="AE16:AF16"/>
    <mergeCell ref="AG16:AH16"/>
  </mergeCells>
  <printOptions horizontalCentered="1"/>
  <pageMargins left="0.1968503937007874" right="0.1968503937007874" top="0.984251968503937" bottom="0.984251968503937" header="0.5118110236220472" footer="0.2362204724409449"/>
  <pageSetup horizontalDpi="300" verticalDpi="300" orientation="landscape" paperSize="9" r:id="rId2"/>
  <headerFooter alignWithMargins="0">
    <oddFooter>&amp;CSeite &amp;P von &amp;N&amp;R&amp;A
Vogel &amp; Noot WT AG
Abteilung: F u. E
&amp;D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Rettig Austria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Leistungstabellen</dc:title>
  <dc:subject>für FHK nach EN 442 gerechnet</dc:subject>
  <dc:creator>Forschung &amp; Entwicklung</dc:creator>
  <cp:keywords>Strips technology Stand 02.07.2009</cp:keywords>
  <dc:description>Neue Leistungsdaten Strips technology:
090702: Weitergabe der Daten an Marketing</dc:description>
  <cp:lastModifiedBy>User</cp:lastModifiedBy>
  <cp:lastPrinted>2009-07-02T09:52:21Z</cp:lastPrinted>
  <dcterms:created xsi:type="dcterms:W3CDTF">1997-12-23T05:48:15Z</dcterms:created>
  <dcterms:modified xsi:type="dcterms:W3CDTF">2011-11-18T09:29:15Z</dcterms:modified>
  <cp:category>Leistungsdaten</cp:category>
  <cp:version/>
  <cp:contentType/>
  <cp:contentStatus/>
</cp:coreProperties>
</file>